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209"/>
  <workbookPr showInkAnnotation="0" autoCompressPictures="0"/>
  <mc:AlternateContent xmlns:mc="http://schemas.openxmlformats.org/markup-compatibility/2006">
    <mc:Choice Requires="x15">
      <x15ac:absPath xmlns:x15ac="http://schemas.microsoft.com/office/spreadsheetml/2010/11/ac" url="/Users/dwight/Box Sync/qradar/"/>
    </mc:Choice>
  </mc:AlternateContent>
  <bookViews>
    <workbookView xWindow="-35180" yWindow="840" windowWidth="35140" windowHeight="19320" tabRatio="500"/>
  </bookViews>
  <sheets>
    <sheet name="Disk Usage Calculator" sheetId="1" r:id="rId1"/>
    <sheet name="DropdownOptions" sheetId="3" r:id="rId2"/>
    <sheet name="changelog" sheetId="2" r:id="rId3"/>
  </sheets>
  <definedNames>
    <definedName name="_xlnm._FilterDatabase" localSheetId="0" hidden="1">'Disk Usage Calculator'!$A$16:$I$21</definedName>
    <definedName name="RetentionUnits">DropdownOptions!$A$4:$B$9</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H13" i="1" l="1"/>
  <c r="H14" i="1"/>
  <c r="H16" i="1"/>
  <c r="H25" i="1"/>
  <c r="H26" i="1"/>
  <c r="H28" i="1"/>
  <c r="P25" i="1"/>
  <c r="P27" i="1"/>
  <c r="P28" i="1"/>
  <c r="P26" i="1"/>
  <c r="L25" i="1"/>
  <c r="J59" i="1"/>
  <c r="L28" i="1"/>
  <c r="P13" i="1"/>
  <c r="P16" i="1"/>
  <c r="P14" i="1"/>
  <c r="P15" i="1"/>
  <c r="L13" i="1"/>
  <c r="J51" i="1"/>
  <c r="L14" i="1"/>
  <c r="J53" i="1"/>
  <c r="L15" i="1"/>
  <c r="J54" i="1"/>
  <c r="L16" i="1"/>
  <c r="J49" i="1"/>
  <c r="J58" i="1"/>
  <c r="L27" i="1"/>
  <c r="J56" i="1"/>
  <c r="L26" i="1"/>
  <c r="P46" i="1"/>
  <c r="Q46" i="1"/>
  <c r="R46" i="1"/>
  <c r="S46" i="1"/>
  <c r="P45" i="1"/>
  <c r="Q45" i="1"/>
  <c r="R45" i="1"/>
  <c r="S45" i="1"/>
  <c r="Q6" i="1"/>
  <c r="D31" i="1"/>
  <c r="D30" i="1"/>
  <c r="D32" i="1"/>
  <c r="D33" i="1"/>
  <c r="H29" i="1"/>
  <c r="J65" i="1"/>
  <c r="H30" i="1"/>
  <c r="H27" i="1"/>
  <c r="D17" i="1"/>
  <c r="D18" i="1"/>
  <c r="D19" i="1"/>
  <c r="D20" i="1"/>
  <c r="H17" i="1"/>
  <c r="H18" i="1"/>
  <c r="H15" i="1"/>
  <c r="J48" i="1"/>
  <c r="J47" i="1"/>
  <c r="J46" i="1"/>
  <c r="B5" i="3"/>
  <c r="J63" i="1"/>
  <c r="J62" i="1"/>
  <c r="J61" i="1"/>
  <c r="J57" i="1"/>
  <c r="J52" i="1"/>
  <c r="B56" i="1"/>
  <c r="C52" i="1"/>
  <c r="B52" i="1"/>
  <c r="C51" i="1"/>
  <c r="B51" i="1"/>
  <c r="C47" i="1"/>
  <c r="B47" i="1"/>
  <c r="C50" i="1"/>
  <c r="B50" i="1"/>
  <c r="C49" i="1"/>
  <c r="B49" i="1"/>
  <c r="C48" i="1"/>
  <c r="B48" i="1"/>
  <c r="C46" i="1"/>
  <c r="B46" i="1"/>
  <c r="C45" i="1"/>
  <c r="B45" i="1"/>
</calcChain>
</file>

<file path=xl/comments1.xml><?xml version="1.0" encoding="utf-8"?>
<comments xmlns="http://schemas.openxmlformats.org/spreadsheetml/2006/main">
  <authors>
    <author>Dwight Spencer</author>
  </authors>
  <commentList>
    <comment ref="P5" authorId="0">
      <text>
        <r>
          <rPr>
            <b/>
            <sz val="9"/>
            <color indexed="81"/>
            <rFont val="Calibri"/>
            <family val="2"/>
          </rPr>
          <t>Dwight Spencer:</t>
        </r>
        <r>
          <rPr>
            <sz val="9"/>
            <color indexed="81"/>
            <rFont val="Calibri"/>
            <family val="2"/>
          </rPr>
          <t xml:space="preserve">
The size of the quick search index varies on 2 properties - retention setting for quick search, and the repetiveness of the data itself.  If your data is quite repetitive, you may be able to reduce this down somewhat, say, to 30%.  however, if you are processing a large amount of verbose logs, such as proxy logs, windows events, etc, we recommend leaving this at 40%.  
This is what we are normally seeing in the field for most of our users.</t>
        </r>
      </text>
    </comment>
    <comment ref="P6" authorId="0">
      <text>
        <r>
          <rPr>
            <b/>
            <sz val="9"/>
            <color indexed="81"/>
            <rFont val="Calibri"/>
            <family val="2"/>
          </rPr>
          <t>Dwight Spencer:</t>
        </r>
        <r>
          <rPr>
            <sz val="9"/>
            <color indexed="81"/>
            <rFont val="Calibri"/>
            <family val="2"/>
          </rPr>
          <t xml:space="preserve">
Similar to the quick search index size, the data compression ratio of data on disk, varies greatly based on the data.  Worst case, you could plan on a compression ratio of 5:1, or 20%.  Aggressive compression, such as on highly repetitive data, could reach as high as 10:1, or 10%.  There is no way to adjust the compression currently, so we usually recommend to most people to use 20%, 5:1</t>
        </r>
      </text>
    </comment>
    <comment ref="Q6" authorId="0">
      <text>
        <r>
          <rPr>
            <b/>
            <sz val="9"/>
            <color indexed="81"/>
            <rFont val="Calibri"/>
            <family val="2"/>
          </rPr>
          <t>Dwight Spencer:</t>
        </r>
        <r>
          <rPr>
            <sz val="9"/>
            <color indexed="81"/>
            <rFont val="Calibri"/>
            <family val="2"/>
          </rPr>
          <t xml:space="preserve">
Compression ratio
 X :  1
</t>
        </r>
      </text>
    </comment>
    <comment ref="K14" authorId="0">
      <text>
        <r>
          <rPr>
            <b/>
            <sz val="9"/>
            <color indexed="81"/>
            <rFont val="Calibri"/>
            <family val="2"/>
          </rPr>
          <t>Dwight Spencer:</t>
        </r>
        <r>
          <rPr>
            <sz val="9"/>
            <color indexed="81"/>
            <rFont val="Calibri"/>
            <family val="2"/>
          </rPr>
          <t xml:space="preserve">
These "number of days" calculations assume the use of a processor, not a console.  The console reserves more space for "transient" data, and thus has less available raw data storage space.
Also assumes 85% suggested usage rate.
</t>
        </r>
      </text>
    </comment>
    <comment ref="C16" authorId="0">
      <text>
        <r>
          <rPr>
            <b/>
            <sz val="9"/>
            <color indexed="81"/>
            <rFont val="Calibri"/>
            <family val="2"/>
          </rPr>
          <t>Dwight Spencer:</t>
        </r>
        <r>
          <rPr>
            <sz val="9"/>
            <color indexed="81"/>
            <rFont val="Calibri"/>
            <family val="2"/>
          </rPr>
          <t xml:space="preserve">
The "UNITS" dropdown option, can be adjusted to switch from DAYS to WEEKS or MONTHS - 30.5 days per month tou accomodate 30 and 31 day months.  This should allow for users to get more granular definition of their retention settings.  
The QRadar options for Retention, only allows for 2 years to be specified, but if you have more storage available, it will continue to keep data for as long as it can. 
</t>
        </r>
      </text>
    </comment>
    <comment ref="F16" authorId="0">
      <text>
        <r>
          <rPr>
            <b/>
            <sz val="9"/>
            <color indexed="81"/>
            <rFont val="Calibri"/>
            <family val="2"/>
          </rPr>
          <t>Dwight Spencer:</t>
        </r>
        <r>
          <rPr>
            <sz val="9"/>
            <color indexed="81"/>
            <rFont val="Calibri"/>
            <family val="2"/>
          </rPr>
          <t xml:space="preserve">
Added this "days" display, as the dropdown option for choosing retention units was not always getting the p[roper values.  It should now, but just verify that the right number of days shows up when you choose your value.
They are all based on days, and an hour is 1/24th of a day, a month is 30.5 to account for 30 &amp; 31day months.  This value is used in the lookup to calculate disk usage, and allows you to chose multiple retention unit values.  
QRadar allows days, 1-14, then 4-8 weeks, then 1-12 months, and then 1, 1.5 and 2 years, I believe.</t>
        </r>
      </text>
    </comment>
    <comment ref="P25" authorId="0">
      <text>
        <r>
          <rPr>
            <b/>
            <sz val="9"/>
            <color indexed="81"/>
            <rFont val="Calibri"/>
            <family val="2"/>
          </rPr>
          <t>Dwight Spencer:</t>
        </r>
        <r>
          <rPr>
            <sz val="9"/>
            <color indexed="81"/>
            <rFont val="Calibri"/>
            <family val="2"/>
          </rPr>
          <t xml:space="preserve">
nomalized * compression + 
payload * compression +
indexes (not compressed</t>
        </r>
      </text>
    </comment>
    <comment ref="A26" authorId="0">
      <text>
        <r>
          <rPr>
            <b/>
            <sz val="9"/>
            <color indexed="81"/>
            <rFont val="Calibri"/>
            <family val="2"/>
          </rPr>
          <t xml:space="preserve">Dwight Spencer:
</t>
        </r>
        <r>
          <rPr>
            <sz val="9"/>
            <color indexed="81"/>
            <rFont val="Calibri"/>
            <family val="2"/>
          </rPr>
          <t>The calculation for space requirements,  accounts for the capture of  both the 'source' and 'detination' payloads in the session.  Ie - the http/get request from the client, and the html response payload from the server</t>
        </r>
        <r>
          <rPr>
            <b/>
            <sz val="9"/>
            <color indexed="81"/>
            <rFont val="Calibri"/>
            <family val="2"/>
          </rPr>
          <t xml:space="preserve">
</t>
        </r>
        <r>
          <rPr>
            <sz val="9"/>
            <color indexed="81"/>
            <rFont val="Calibri"/>
            <family val="2"/>
          </rPr>
          <t xml:space="preserve">
</t>
        </r>
      </text>
    </comment>
    <comment ref="K26" authorId="0">
      <text>
        <r>
          <rPr>
            <b/>
            <sz val="9"/>
            <color indexed="81"/>
            <rFont val="Calibri"/>
            <family val="2"/>
          </rPr>
          <t>Dwight Spencer:</t>
        </r>
        <r>
          <rPr>
            <sz val="9"/>
            <color indexed="81"/>
            <rFont val="Calibri"/>
            <family val="2"/>
          </rPr>
          <t xml:space="preserve">
These "number of days" calculations assume the use of a processor, not a console.  The console reserves more space for "transient" data, and thus has less available raw data storage space.
Also assumes 85% suggested usage rate.
</t>
        </r>
      </text>
    </comment>
    <comment ref="P26" authorId="0">
      <text>
        <r>
          <rPr>
            <b/>
            <sz val="9"/>
            <color indexed="81"/>
            <rFont val="Calibri"/>
            <family val="2"/>
          </rPr>
          <t>Dwight Spencer:</t>
        </r>
        <r>
          <rPr>
            <sz val="9"/>
            <color indexed="81"/>
            <rFont val="Calibri"/>
            <family val="2"/>
          </rPr>
          <t xml:space="preserve">
Indexes, per event/flow record, are around 5 bytes per indexed value/property.    This means our index value can be roughly the number of indexes * the number of records * 5 bytes per index</t>
        </r>
      </text>
    </comment>
    <comment ref="B27" authorId="0">
      <text>
        <r>
          <rPr>
            <b/>
            <sz val="9"/>
            <color indexed="81"/>
            <rFont val="Calibri"/>
            <family val="2"/>
          </rPr>
          <t>Dwight Spencer:</t>
        </r>
        <r>
          <rPr>
            <sz val="9"/>
            <color indexed="81"/>
            <rFont val="Calibri"/>
            <family val="2"/>
          </rPr>
          <t xml:space="preserve">
The percentage of flows in your environment can vary based on a few parameters.  You can completely disable content capture, as well, thus allowing for 0% to be used here.  
In addition, if you are only collecting netflow records in your environment, you could reduce this to 0% as well.  Keep in mind, we do allow for additional netflow tags from IPFIX/NetflowV9, to be stored in the payload field.  If you are using IPFIX or NetflowV9, , I would leave this at 40%, but set your content capture size to say, 16 bytes.</t>
        </r>
      </text>
    </comment>
    <comment ref="P27" authorId="0">
      <text>
        <r>
          <rPr>
            <b/>
            <sz val="9"/>
            <color indexed="81"/>
            <rFont val="Calibri"/>
            <family val="2"/>
          </rPr>
          <t>Dwight Spencer:</t>
        </r>
        <r>
          <rPr>
            <sz val="9"/>
            <color indexed="81"/>
            <rFont val="Calibri"/>
            <family val="2"/>
          </rPr>
          <t xml:space="preserve">
quicksearch index is a % of the payload, and is also never compressed.  
Note, this doesn't need the same retention as the ariel data, but shouldn't be set to a higher value for retention. </t>
        </r>
      </text>
    </comment>
    <comment ref="F29" authorId="0">
      <text>
        <r>
          <rPr>
            <b/>
            <sz val="9"/>
            <color indexed="81"/>
            <rFont val="Calibri"/>
            <family val="2"/>
          </rPr>
          <t>Dwight Spencer:</t>
        </r>
        <r>
          <rPr>
            <sz val="9"/>
            <color indexed="81"/>
            <rFont val="Calibri"/>
            <family val="2"/>
          </rPr>
          <t xml:space="preserve">
Added this "days" display, as the dropdown option for chooseing retention units was not always getting the same values.  It should now, but the length of the options should be taken note of when you select them.
They are all based on days, and an hour is 1/24th of a day.  This value is used in the lookup to calculate disk usage, and allows you to chose multiple retention unit values.  Note, QRadar allows days, 1-14, then 4-8 weeks, then 1-12 months, and then 1, 1.5 and 2 years, I believe.</t>
        </r>
      </text>
    </comment>
  </commentList>
</comments>
</file>

<file path=xl/sharedStrings.xml><?xml version="1.0" encoding="utf-8"?>
<sst xmlns="http://schemas.openxmlformats.org/spreadsheetml/2006/main" count="212" uniqueCount="138">
  <si>
    <t>Compressed, per week (TB)</t>
  </si>
  <si>
    <t>seconds per week</t>
  </si>
  <si>
    <t>bytes</t>
  </si>
  <si>
    <t>seconds</t>
  </si>
  <si>
    <t>Common Event Rate Usages</t>
  </si>
  <si>
    <t>Disk Utilization Estimate (TB)</t>
  </si>
  <si>
    <t>change log</t>
  </si>
  <si>
    <t>date</t>
  </si>
  <si>
    <t>person</t>
  </si>
  <si>
    <t>comment</t>
  </si>
  <si>
    <t>dwight</t>
  </si>
  <si>
    <t>After working on the "old" spreadsheet from qradar 5.0 days, decided to try to make this sheet more user friendly &amp; functional.  Hopefully, it's easier to use.</t>
  </si>
  <si>
    <t>version</t>
  </si>
  <si>
    <t>TODO</t>
  </si>
  <si>
    <t>add section for flows - need to determine if "flows per minute" is easily transferable to "per second" calculations used in EPS rates</t>
  </si>
  <si>
    <t>Event Rate (Events Per Second/EPS)</t>
  </si>
  <si>
    <t>Event Payload Size (Average) in bytes</t>
  </si>
  <si>
    <t xml:space="preserve"> </t>
  </si>
  <si>
    <t>Nick A. found an error in my disk calulation for QUICK SEARCH index.  I was using a multiple of 30 on a week value, when it should have been on a daily value.</t>
  </si>
  <si>
    <t>seconds per day</t>
  </si>
  <si>
    <t>Dropdown Lists</t>
  </si>
  <si>
    <t>This value is used in the spreadsheet, and allows users to choose days or weeks for their space calculations</t>
  </si>
  <si>
    <t>day(s)</t>
  </si>
  <si>
    <t>week(s)</t>
  </si>
  <si>
    <t>RetentionUnits</t>
  </si>
  <si>
    <t>Retention Period</t>
  </si>
  <si>
    <t>(units)</t>
  </si>
  <si>
    <t>eps</t>
  </si>
  <si>
    <t>TB</t>
  </si>
  <si>
    <t>Quick Search/Full Text Index</t>
  </si>
  <si>
    <t>per day</t>
  </si>
  <si>
    <t>Flow Usage Estimates</t>
  </si>
  <si>
    <t>Details</t>
  </si>
  <si>
    <t>Flow Rate (flows per minute)</t>
  </si>
  <si>
    <t>flows</t>
  </si>
  <si>
    <t>Content Capture Size</t>
  </si>
  <si>
    <t>minutes per day</t>
  </si>
  <si>
    <t>Data Assumptions, General</t>
  </si>
  <si>
    <t>minutes</t>
  </si>
  <si>
    <t>individual index size, per record</t>
  </si>
  <si>
    <t>Indexing - Quick Search Indexing duration</t>
  </si>
  <si>
    <t>indexes</t>
  </si>
  <si>
    <r>
      <t xml:space="preserve">Indexing - </t>
    </r>
    <r>
      <rPr>
        <b/>
        <sz val="9"/>
        <color theme="1"/>
        <rFont val="Calibri"/>
        <scheme val="minor"/>
      </rPr>
      <t>NUMBER</t>
    </r>
    <r>
      <rPr>
        <sz val="9"/>
        <color theme="1"/>
        <rFont val="Calibri"/>
        <scheme val="minor"/>
      </rPr>
      <t xml:space="preserve"> of event indexes enabled</t>
    </r>
  </si>
  <si>
    <r>
      <t xml:space="preserve">Indexing - </t>
    </r>
    <r>
      <rPr>
        <b/>
        <sz val="9"/>
        <color theme="1"/>
        <rFont val="Calibri"/>
        <scheme val="minor"/>
      </rPr>
      <t>NUMBER</t>
    </r>
    <r>
      <rPr>
        <sz val="9"/>
        <color theme="1"/>
        <rFont val="Calibri"/>
        <scheme val="minor"/>
      </rPr>
      <t xml:space="preserve"> of flow indexes enabled</t>
    </r>
  </si>
  <si>
    <t>Indexes - Normalized &amp; Custom Properties</t>
  </si>
  <si>
    <t>normalized record size</t>
  </si>
  <si>
    <t>huge changes, added section for flows, accounted for index enable/disable, simplified the math logic in the formulas, included details on /store/ sizes on appliances (mikewallace)</t>
  </si>
  <si>
    <t xml:space="preserve">Flows, Total Recommended Space </t>
  </si>
  <si>
    <t>Events, Total Recommended Space</t>
  </si>
  <si>
    <t>Event Storage Calculations (PER DAY), in TB</t>
  </si>
  <si>
    <t>Flow Storage Calculations (PER DAY), in TB</t>
  </si>
  <si>
    <t>month(s)</t>
  </si>
  <si>
    <r>
      <rPr>
        <b/>
        <sz val="9"/>
        <color theme="1"/>
        <rFont val="Calibri"/>
        <scheme val="minor"/>
      </rPr>
      <t xml:space="preserve">Common EPS Usages
</t>
    </r>
    <r>
      <rPr>
        <sz val="9"/>
        <color theme="1"/>
        <rFont val="Calibri"/>
        <scheme val="minor"/>
      </rPr>
      <t xml:space="preserve"> This table is just an example of data sizes, to allow you to see multiple EPS storage sizes based on a few different, common event rates.  This is purely informational.  
This does not take into account the recommendation for only using 85% of your disk usage capacity - these values will likely be smaller than the "TB Recommended" values to the left.</t>
    </r>
  </si>
  <si>
    <t>Appliance Model</t>
  </si>
  <si>
    <t>raw disk space (TB)</t>
  </si>
  <si>
    <t>available storage space (TB)</t>
  </si>
  <si>
    <t>year(s)</t>
  </si>
  <si>
    <t>quarter(s)</t>
  </si>
  <si>
    <t>hour(s)</t>
  </si>
  <si>
    <r>
      <rPr>
        <b/>
        <sz val="9"/>
        <color theme="1"/>
        <rFont val="Calibri"/>
        <scheme val="minor"/>
      </rPr>
      <t>Base Calcuations</t>
    </r>
    <r>
      <rPr>
        <sz val="9"/>
        <color theme="1"/>
        <rFont val="Calibri"/>
        <scheme val="minor"/>
      </rPr>
      <t xml:space="preserve"> 
These base calculation show the usage of storage, per data type, per day.  These are used to calculate the retention settings, based on compressed, uncompressed, etc, for the time specified.</t>
    </r>
  </si>
  <si>
    <r>
      <rPr>
        <b/>
        <sz val="9"/>
        <color theme="1"/>
        <rFont val="Calibri"/>
        <scheme val="minor"/>
      </rPr>
      <t>Data Assumptions</t>
    </r>
    <r>
      <rPr>
        <sz val="9"/>
        <color theme="1"/>
        <rFont val="Calibri"/>
        <scheme val="minor"/>
      </rPr>
      <t xml:space="preserve">
These parameters normally SHOULD not be changed by the user.  These are observed values that most occur in QRadar installations.  
The only thing that could be adjusted, really, is the data compression ratio, if a user thinks their data is more repetitive, and thus, has a higher compression ratio than the standard 5:1</t>
    </r>
  </si>
  <si>
    <t>thanks to  mike, found missing bracket in formula for indexing.  Basically adding "uncompressed days" to value, without multipling it by index usage per day, inflating value</t>
  </si>
  <si>
    <t>You shouldn't edit these values! :)</t>
  </si>
  <si>
    <t>thanks to chris fredericks - full text indexing for events, was dividing by 7 incorrectly, causing that portion of the estimate to be 1/7th of what it should have been.  Flows calc was ok</t>
  </si>
  <si>
    <t>increased per-record index size from 5 bytes to 8 bytes, per comments from nick antonov.</t>
  </si>
  <si>
    <t>Quick Search/Full Text Index, per week (TB)</t>
  </si>
  <si>
    <t>Console - estimates requirements for all events &amp; flows stored on console.  Note, you cannot run mulitple consoles in a deployment.</t>
  </si>
  <si>
    <r>
      <rPr>
        <b/>
        <sz val="9"/>
        <color theme="1"/>
        <rFont val="Calibri"/>
        <scheme val="minor"/>
      </rPr>
      <t xml:space="preserve">Common Appliance Storage Capacites
</t>
    </r>
    <r>
      <rPr>
        <sz val="9"/>
        <color theme="1"/>
        <rFont val="Calibri"/>
        <scheme val="minor"/>
      </rPr>
      <t xml:space="preserve"> This table represents the approximate storage capacity of QRadar appliances.  These are somewhat reduced from the raw capacity, due to the need of a "transient" partition in QRadar High Availability implementations.  This "transient" space requirement may change at some point in the future, however.
Each line/entry below assumes they are standalone values - as if all data was going on each appliance model/type.  For example, 30 TB of storage would require the use of a single xx28 host, but 2 x xx24 hosts, and 5-6 x a xx05 host.   For DataNodes, if you want to estimate the requirement for only events or flows, set the rate for the other value to zero (calculate event space, set flows to zero, calculate flow space, set events to zero). </t>
    </r>
  </si>
  <si>
    <t>Event Processors  - estimate for number of managed hosts to store EVENT data from "Event Usage Estimates"</t>
  </si>
  <si>
    <t>Flow Processors - estimate number of managed hosts to store only FLOW data from "Event Usage Estimates"</t>
  </si>
  <si>
    <t>Combined Processor - estimate number of managed hosts to store EVENT + FLOW data from "Event Usage Estimates"</t>
  </si>
  <si>
    <t xml:space="preserve">Data Node - estimates number of managed hosts to store EVENT + FLOW data from "Event Usage Estimates" </t>
  </si>
  <si>
    <t>2016.3 and 4</t>
  </si>
  <si>
    <t xml:space="preserve">appliance calculation area was not using the proper "flows" max size value.  Thanks to matt h. </t>
  </si>
  <si>
    <t xml:space="preserve">adding a rough estimate as to bandwidth required for EPS/FPM rates.  This does not really take into account "event collector" store and forward specifically, but would give you an idea of bandwidth requirements for said rate of data to get back to the destination.   Also doesn't account for search bandwidth utilization, configuration/replication downloads, etc. </t>
  </si>
  <si>
    <t>rate</t>
  </si>
  <si>
    <t>As of 7.2.7, we've changed the ariel data format, so that we no longer differentiate between "compressed" and "uncompressed".  All data now uses a single, more efficent format.  This new format puts more data in the same disk space (effectively compression), but without the overhead of decompressing data while reading.  Also, since more data is in the same space, our disk read &amp; search performance is thusly improved.</t>
  </si>
  <si>
    <t>Event Collection - Incoming Data Estimates</t>
  </si>
  <si>
    <t>data storage efficiency</t>
  </si>
  <si>
    <t xml:space="preserve">Data Constants </t>
  </si>
  <si>
    <r>
      <t>The "</t>
    </r>
    <r>
      <rPr>
        <b/>
        <sz val="9"/>
        <color theme="1"/>
        <rFont val="Calibri"/>
        <scheme val="minor"/>
      </rPr>
      <t>Event Usage Estimates"</t>
    </r>
    <r>
      <rPr>
        <sz val="9"/>
        <color theme="1"/>
        <rFont val="Calibri"/>
        <scheme val="minor"/>
      </rPr>
      <t xml:space="preserve"> 
Enter (EPS) rates, average event size and desired retention period. The output is the total amount of disk space required for the EPS specified.  For estimates per event processor appliance, adjust the EPS rate to the expected rate for each respective event processor.</t>
    </r>
  </si>
  <si>
    <t>Event indexes</t>
  </si>
  <si>
    <r>
      <rPr>
        <b/>
        <u/>
        <sz val="10"/>
        <color theme="1"/>
        <rFont val="Calibri"/>
        <scheme val="minor"/>
      </rPr>
      <t xml:space="preserve">Instrutions: </t>
    </r>
    <r>
      <rPr>
        <sz val="10"/>
        <color theme="1"/>
        <rFont val="Calibri"/>
        <scheme val="minor"/>
      </rPr>
      <t xml:space="preserve">
Fields in </t>
    </r>
    <r>
      <rPr>
        <b/>
        <u/>
        <sz val="11"/>
        <color rgb="FFFFFF00"/>
        <rFont val="Calibri"/>
        <scheme val="minor"/>
      </rPr>
      <t>Yellow</t>
    </r>
    <r>
      <rPr>
        <sz val="10"/>
        <color theme="1"/>
        <rFont val="Calibri"/>
        <scheme val="minor"/>
      </rPr>
      <t xml:space="preserve"> are user-configured values.  Changing these entries allow you to scope out the retention parameters for data, retention, event &amp; flow payload sizes.
</t>
    </r>
    <r>
      <rPr>
        <b/>
        <u/>
        <sz val="10"/>
        <color theme="1"/>
        <rFont val="Calibri"/>
        <scheme val="minor"/>
      </rPr>
      <t xml:space="preserve">Considerations </t>
    </r>
    <r>
      <rPr>
        <sz val="10"/>
        <color theme="1"/>
        <rFont val="Calibri"/>
        <scheme val="minor"/>
      </rPr>
      <t xml:space="preserve">
</t>
    </r>
    <r>
      <rPr>
        <b/>
        <sz val="10"/>
        <color theme="1"/>
        <rFont val="Calibri"/>
        <scheme val="minor"/>
      </rPr>
      <t>- Coalescing</t>
    </r>
    <r>
      <rPr>
        <sz val="10"/>
        <color theme="1"/>
        <rFont val="Calibri"/>
        <scheme val="minor"/>
      </rPr>
      <t xml:space="preserve">
These formulas do not take into account the impact of enabling or disabling "Coalescing".  Often, users require disabling coalescing log sources that subject to compliance &amp; audit regulations.  Coalescing's storage gain is roughly 5-10% reduction in usage, so for the storage estimages, are ignored.
</t>
    </r>
    <r>
      <rPr>
        <b/>
        <sz val="10"/>
        <color theme="1"/>
        <rFont val="Calibri"/>
        <scheme val="minor"/>
      </rPr>
      <t>- Data Compression</t>
    </r>
    <r>
      <rPr>
        <sz val="10"/>
        <color theme="1"/>
        <rFont val="Calibri"/>
        <scheme val="minor"/>
      </rPr>
      <t xml:space="preserve">
As of QRadar 7.2.7, data storage is in a new format that is more efficient, and thus does not require additional compression.  The reduction ratio for disk usage is roughly 7.5 to 1, but allows for faster disk read of data, as well. </t>
    </r>
  </si>
  <si>
    <t>recommended /store/ usage</t>
  </si>
  <si>
    <t>Events - Retention Period</t>
  </si>
  <si>
    <t>Flows - Retention Period</t>
  </si>
  <si>
    <t>Flow Retention Setting</t>
  </si>
  <si>
    <t>Event Retention Setting</t>
  </si>
  <si>
    <t>Flow Indexes</t>
  </si>
  <si>
    <t>Flows</t>
  </si>
  <si>
    <t>Events</t>
  </si>
  <si>
    <t>bytes per event</t>
  </si>
  <si>
    <t>transient reserved space</t>
  </si>
  <si>
    <t>n/a</t>
  </si>
  <si>
    <t>Datanodes for Retention Period</t>
  </si>
  <si>
    <t>* Using 1705 processors</t>
  </si>
  <si>
    <t>* Using 1728 processors</t>
  </si>
  <si>
    <t>x2 used below, for source &amp; dest content</t>
  </si>
  <si>
    <t>Flow Processors</t>
  </si>
  <si>
    <t>Percentage of flows with payload</t>
  </si>
  <si>
    <t>quick search index % size</t>
  </si>
  <si>
    <t>feedback from Nick A.  Reduced index size per event from 8 to 5, quick search (lucene) indexing down from 40% to 30%</t>
  </si>
  <si>
    <t>adjusted compression ratio from 5:1 (20%) to 6.67:1 (15), per suggestion from Nick</t>
  </si>
  <si>
    <t>IBM SIEM QRadar 7.2.7 and above - Ariel Disk Storage Estimates</t>
  </si>
  <si>
    <r>
      <rPr>
        <b/>
        <sz val="9"/>
        <color theme="1"/>
        <rFont val="Calibri"/>
        <scheme val="minor"/>
      </rPr>
      <t xml:space="preserve">BETA &gt;&gt; Event &amp; Flow Bandwidth Requirements
</t>
    </r>
    <r>
      <rPr>
        <sz val="9"/>
        <color theme="1"/>
        <rFont val="Calibri"/>
        <scheme val="minor"/>
      </rPr>
      <t>This set of cells  attempts to provide a -very- rough estimate of bandwidth requirements for the event &amp; flow rates listed, in order to get that data back to a central processor.
For example, 100,000 flows per minute, plus payload, back to a flow processor, or 4500 eps, on an event collector, back to an event processor.  This again, does not consider search usage, replication, configuration downloads, offense updates/creates from an event processor to the console, etc.</t>
    </r>
  </si>
  <si>
    <t>Events (per second)</t>
  </si>
  <si>
    <t>Flows (per minute)</t>
  </si>
  <si>
    <t>bytes per minute</t>
  </si>
  <si>
    <t>data type</t>
  </si>
  <si>
    <t>bits per second</t>
  </si>
  <si>
    <t>bandwidth
megabits per second (Mbps)</t>
  </si>
  <si>
    <t>updated formulas to bandwidth estimates (beta)</t>
  </si>
  <si>
    <t xml:space="preserve">&gt;&gt;&gt; </t>
  </si>
  <si>
    <t>updated max eps rate for 3128 from 5000 to 15000 eps.</t>
  </si>
  <si>
    <t>removed artifacts of compressed data usage in "Common EPS Usage" area.</t>
  </si>
  <si>
    <t>Req'd for specified retention (@85%)</t>
  </si>
  <si>
    <t>for listed EPS rate:</t>
  </si>
  <si>
    <t>Using xx28 processors/datanodes</t>
  </si>
  <si>
    <t>Using 1605 processors</t>
  </si>
  <si>
    <t>Using 1628 processors</t>
  </si>
  <si>
    <t>FPM</t>
  </si>
  <si>
    <t>EPS</t>
  </si>
  <si>
    <t>On average, about 40% of flow</t>
  </si>
  <si>
    <t xml:space="preserve"> data includes payload</t>
  </si>
  <si>
    <t>Event Processors</t>
  </si>
  <si>
    <t>storage usage per day</t>
  </si>
  <si>
    <t>number of days possible on xx05 proc</t>
  </si>
  <si>
    <t>number of days possible on xx28 proc</t>
  </si>
  <si>
    <t>days</t>
  </si>
  <si>
    <t>added beta estimates for number of days possible on 2 processor types.  Also added specs (eps/disk) for xx48</t>
  </si>
  <si>
    <t>number of days possible on xx48 proc</t>
  </si>
  <si>
    <r>
      <t xml:space="preserve">BETA &gt;&gt; Appliance &amp; Storage Retention Capacity Estimates
</t>
    </r>
    <r>
      <rPr>
        <i/>
        <sz val="9"/>
        <color theme="1"/>
        <rFont val="Calibri"/>
        <scheme val="minor"/>
      </rPr>
      <t>This section attempts to estimate the number of appliances (processors) required to process the data rates specified, and datanodes required to store based on EPS &amp; Retention settings.  It does NOT account for the space provided by the event processors themselves, when estimating the datanode storage requirements.</t>
    </r>
  </si>
  <si>
    <t>License Capacity
- events</t>
  </si>
  <si>
    <t xml:space="preserve">
- flows</t>
  </si>
  <si>
    <t>2016.10.</t>
  </si>
  <si>
    <t>Using 1648 processors</t>
  </si>
  <si>
    <t>* Using 1748 processors</t>
  </si>
  <si>
    <t>for listed FPM rate: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</si>
</sst>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_-* #,##0.00_-;\-* #,##0.00_-;_-* &quot;-&quot;??_-;_-@_-"/>
    <numFmt numFmtId="165" formatCode="0.000"/>
    <numFmt numFmtId="166" formatCode="_-* #,##0_-;\-* #,##0_-;_-* &quot;-&quot;??_-;_-@_-"/>
    <numFmt numFmtId="167" formatCode="_(* #,##0_);_(* \(#,##0\);_(* &quot;-&quot;??_);_(@_)"/>
    <numFmt numFmtId="168" formatCode="0.0"/>
    <numFmt numFmtId="169" formatCode="0.0%"/>
  </numFmts>
  <fonts count="22" x14ac:knownFonts="1">
    <font>
      <sz val="12"/>
      <color theme="1"/>
      <name val="Calibri"/>
      <family val="2"/>
      <scheme val="minor"/>
    </font>
    <font>
      <sz val="12"/>
      <color theme="1"/>
      <name val="Calibri"/>
      <family val="2"/>
      <scheme val="minor"/>
    </font>
    <font>
      <b/>
      <sz val="12"/>
      <color theme="1"/>
      <name val="Calibri"/>
      <family val="2"/>
      <scheme val="minor"/>
    </font>
    <font>
      <sz val="9"/>
      <color theme="1"/>
      <name val="Calibri"/>
      <scheme val="minor"/>
    </font>
    <font>
      <b/>
      <sz val="9"/>
      <color theme="1"/>
      <name val="Calibri"/>
      <scheme val="minor"/>
    </font>
    <font>
      <u/>
      <sz val="12"/>
      <color theme="10"/>
      <name val="Calibri"/>
      <family val="2"/>
      <scheme val="minor"/>
    </font>
    <font>
      <u/>
      <sz val="12"/>
      <color theme="11"/>
      <name val="Calibri"/>
      <family val="2"/>
      <scheme val="minor"/>
    </font>
    <font>
      <sz val="9"/>
      <color theme="0" tint="-0.499984740745262"/>
      <name val="Calibri"/>
      <scheme val="minor"/>
    </font>
    <font>
      <sz val="10"/>
      <color theme="1"/>
      <name val="Calibri"/>
      <scheme val="minor"/>
    </font>
    <font>
      <b/>
      <sz val="9"/>
      <name val="Calibri"/>
      <scheme val="minor"/>
    </font>
    <font>
      <sz val="9"/>
      <name val="Calibri"/>
      <scheme val="minor"/>
    </font>
    <font>
      <b/>
      <u/>
      <sz val="11"/>
      <color rgb="FFFFFF00"/>
      <name val="Calibri"/>
      <scheme val="minor"/>
    </font>
    <font>
      <i/>
      <sz val="6"/>
      <color theme="1"/>
      <name val="Calibri"/>
      <scheme val="minor"/>
    </font>
    <font>
      <sz val="9"/>
      <color indexed="81"/>
      <name val="Calibri"/>
      <family val="2"/>
    </font>
    <font>
      <b/>
      <sz val="9"/>
      <color indexed="81"/>
      <name val="Calibri"/>
      <family val="2"/>
    </font>
    <font>
      <b/>
      <sz val="8"/>
      <color theme="1"/>
      <name val="Calibri"/>
      <scheme val="minor"/>
    </font>
    <font>
      <i/>
      <sz val="9"/>
      <color theme="1"/>
      <name val="Calibri"/>
      <scheme val="minor"/>
    </font>
    <font>
      <b/>
      <sz val="10"/>
      <color theme="1"/>
      <name val="Calibri"/>
      <scheme val="minor"/>
    </font>
    <font>
      <b/>
      <u/>
      <sz val="10"/>
      <color theme="1"/>
      <name val="Calibri"/>
      <scheme val="minor"/>
    </font>
    <font>
      <sz val="9"/>
      <color theme="4"/>
      <name val="Calibri"/>
      <scheme val="minor"/>
    </font>
    <font>
      <b/>
      <sz val="9"/>
      <color theme="4"/>
      <name val="Calibri"/>
      <scheme val="minor"/>
    </font>
    <font>
      <b/>
      <i/>
      <sz val="9"/>
      <color theme="1"/>
      <name val="Calibri"/>
      <scheme val="minor"/>
    </font>
  </fonts>
  <fills count="13">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0"/>
        <bgColor indexed="64"/>
      </patternFill>
    </fill>
    <fill>
      <patternFill patternType="solid">
        <fgColor theme="4"/>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3" tint="0.59999389629810485"/>
        <bgColor indexed="64"/>
      </patternFill>
    </fill>
  </fills>
  <borders count="45">
    <border>
      <left/>
      <right/>
      <top/>
      <bottom/>
      <diagonal/>
    </border>
    <border>
      <left/>
      <right/>
      <top/>
      <bottom style="medium">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medium">
        <color auto="1"/>
      </top>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s>
  <cellStyleXfs count="270">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164" fontId="1"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217">
    <xf numFmtId="0" fontId="0" fillId="0" borderId="0" xfId="0"/>
    <xf numFmtId="0" fontId="3" fillId="0" borderId="0" xfId="0" applyFont="1"/>
    <xf numFmtId="0" fontId="3" fillId="0" borderId="0" xfId="0" applyFont="1" applyAlignment="1">
      <alignment wrapText="1"/>
    </xf>
    <xf numFmtId="0" fontId="4" fillId="3" borderId="2" xfId="0" applyFont="1" applyFill="1" applyBorder="1"/>
    <xf numFmtId="0" fontId="4" fillId="2" borderId="2" xfId="0" applyFont="1" applyFill="1" applyBorder="1" applyAlignment="1">
      <alignment horizontal="left"/>
    </xf>
    <xf numFmtId="0" fontId="8" fillId="0" borderId="0" xfId="0" applyFont="1"/>
    <xf numFmtId="0" fontId="9" fillId="6" borderId="0" xfId="0" applyFont="1" applyFill="1" applyBorder="1"/>
    <xf numFmtId="0" fontId="9" fillId="2" borderId="2" xfId="0" applyFont="1" applyFill="1" applyBorder="1" applyAlignment="1">
      <alignment horizontal="left"/>
    </xf>
    <xf numFmtId="0" fontId="3" fillId="6" borderId="0" xfId="0" applyFont="1" applyFill="1"/>
    <xf numFmtId="165" fontId="3" fillId="6" borderId="2" xfId="0" applyNumberFormat="1" applyFont="1" applyFill="1" applyBorder="1"/>
    <xf numFmtId="0" fontId="4" fillId="5" borderId="2" xfId="0" applyFont="1" applyFill="1" applyBorder="1"/>
    <xf numFmtId="0" fontId="4" fillId="5" borderId="4" xfId="0" applyFont="1" applyFill="1" applyBorder="1"/>
    <xf numFmtId="0" fontId="4" fillId="5" borderId="5" xfId="0" applyFont="1" applyFill="1" applyBorder="1"/>
    <xf numFmtId="0" fontId="4" fillId="5" borderId="6" xfId="0" applyFont="1" applyFill="1" applyBorder="1"/>
    <xf numFmtId="0" fontId="3" fillId="6" borderId="2" xfId="0" applyFont="1" applyFill="1" applyBorder="1"/>
    <xf numFmtId="9" fontId="3" fillId="6" borderId="2" xfId="0" applyNumberFormat="1" applyFont="1" applyFill="1" applyBorder="1"/>
    <xf numFmtId="0" fontId="3" fillId="6" borderId="0" xfId="0" applyFont="1" applyFill="1" applyBorder="1"/>
    <xf numFmtId="166" fontId="4" fillId="3" borderId="2" xfId="43" applyNumberFormat="1" applyFont="1" applyFill="1" applyBorder="1"/>
    <xf numFmtId="0" fontId="3" fillId="0" borderId="0" xfId="0" applyFont="1" applyFill="1" applyBorder="1"/>
    <xf numFmtId="166" fontId="3" fillId="6" borderId="6" xfId="43" applyNumberFormat="1" applyFont="1" applyFill="1" applyBorder="1" applyAlignment="1">
      <alignment horizontal="right"/>
    </xf>
    <xf numFmtId="166" fontId="3" fillId="6" borderId="6" xfId="43" applyNumberFormat="1" applyFont="1" applyFill="1" applyBorder="1" applyAlignment="1">
      <alignment horizontal="right" wrapText="1"/>
    </xf>
    <xf numFmtId="0" fontId="8" fillId="6" borderId="0" xfId="0" applyFont="1" applyFill="1"/>
    <xf numFmtId="0" fontId="4" fillId="3" borderId="4" xfId="0" applyFont="1" applyFill="1" applyBorder="1" applyAlignment="1">
      <alignment horizontal="left"/>
    </xf>
    <xf numFmtId="165" fontId="3" fillId="6" borderId="0" xfId="0" applyNumberFormat="1" applyFont="1" applyFill="1" applyBorder="1"/>
    <xf numFmtId="0" fontId="4" fillId="3" borderId="2" xfId="0" applyFont="1" applyFill="1" applyBorder="1" applyAlignment="1">
      <alignment wrapText="1"/>
    </xf>
    <xf numFmtId="0" fontId="4" fillId="0" borderId="4" xfId="0" applyFont="1" applyBorder="1" applyAlignment="1">
      <alignment wrapText="1"/>
    </xf>
    <xf numFmtId="0" fontId="3" fillId="6" borderId="2" xfId="0" applyFont="1" applyFill="1" applyBorder="1" applyAlignment="1">
      <alignment horizontal="right"/>
    </xf>
    <xf numFmtId="165" fontId="4" fillId="6" borderId="0" xfId="0" applyNumberFormat="1" applyFont="1" applyFill="1" applyBorder="1"/>
    <xf numFmtId="165" fontId="9" fillId="6" borderId="0" xfId="0" applyNumberFormat="1" applyFont="1" applyFill="1" applyBorder="1"/>
    <xf numFmtId="0" fontId="4" fillId="0" borderId="0" xfId="0" applyFont="1" applyBorder="1" applyAlignment="1">
      <alignment wrapText="1"/>
    </xf>
    <xf numFmtId="0" fontId="3" fillId="6" borderId="0" xfId="0" applyFont="1" applyFill="1" applyBorder="1" applyAlignment="1">
      <alignment vertical="top"/>
    </xf>
    <xf numFmtId="165" fontId="8" fillId="0" borderId="0" xfId="0" applyNumberFormat="1" applyFont="1"/>
    <xf numFmtId="0" fontId="8" fillId="0" borderId="0" xfId="0" applyNumberFormat="1" applyFont="1"/>
    <xf numFmtId="0" fontId="12" fillId="6" borderId="0" xfId="0" applyFont="1" applyFill="1" applyBorder="1"/>
    <xf numFmtId="2" fontId="12" fillId="6" borderId="0" xfId="0" applyNumberFormat="1" applyFont="1" applyFill="1" applyBorder="1" applyAlignment="1">
      <alignment horizontal="left"/>
    </xf>
    <xf numFmtId="0" fontId="3" fillId="7" borderId="8" xfId="0" applyFont="1" applyFill="1" applyBorder="1"/>
    <xf numFmtId="0" fontId="3" fillId="7" borderId="3" xfId="0" applyFont="1" applyFill="1" applyBorder="1"/>
    <xf numFmtId="0" fontId="3" fillId="7" borderId="12" xfId="0" applyFont="1" applyFill="1" applyBorder="1"/>
    <xf numFmtId="0" fontId="3" fillId="7" borderId="7" xfId="0" applyFont="1" applyFill="1" applyBorder="1"/>
    <xf numFmtId="166" fontId="3" fillId="6" borderId="2" xfId="0" applyNumberFormat="1" applyFont="1" applyFill="1" applyBorder="1"/>
    <xf numFmtId="43" fontId="3" fillId="6" borderId="2" xfId="0" applyNumberFormat="1" applyFont="1" applyFill="1" applyBorder="1"/>
    <xf numFmtId="9" fontId="3" fillId="3" borderId="2" xfId="0" applyNumberFormat="1" applyFont="1" applyFill="1" applyBorder="1"/>
    <xf numFmtId="9" fontId="4" fillId="3" borderId="2" xfId="0" applyNumberFormat="1" applyFont="1" applyFill="1" applyBorder="1" applyAlignment="1">
      <alignment wrapText="1"/>
    </xf>
    <xf numFmtId="0" fontId="4" fillId="4" borderId="2" xfId="0" applyFont="1" applyFill="1" applyBorder="1"/>
    <xf numFmtId="0" fontId="0" fillId="6" borderId="7" xfId="0" applyFill="1" applyBorder="1" applyAlignment="1">
      <alignment vertical="top" wrapText="1"/>
    </xf>
    <xf numFmtId="0" fontId="8" fillId="6" borderId="0" xfId="0" applyFont="1" applyFill="1" applyBorder="1" applyAlignment="1">
      <alignment horizontal="left" vertical="top" wrapText="1"/>
    </xf>
    <xf numFmtId="0" fontId="3" fillId="7" borderId="0" xfId="0" applyFont="1" applyFill="1" applyBorder="1"/>
    <xf numFmtId="0" fontId="3" fillId="6" borderId="0" xfId="0" applyFont="1" applyFill="1" applyBorder="1" applyAlignment="1">
      <alignment wrapText="1"/>
    </xf>
    <xf numFmtId="165" fontId="7" fillId="6" borderId="2" xfId="0" applyNumberFormat="1" applyFont="1" applyFill="1" applyBorder="1"/>
    <xf numFmtId="0" fontId="3" fillId="10" borderId="2" xfId="0" applyFont="1" applyFill="1" applyBorder="1"/>
    <xf numFmtId="165" fontId="3" fillId="10" borderId="4" xfId="0" applyNumberFormat="1" applyFont="1" applyFill="1" applyBorder="1"/>
    <xf numFmtId="165" fontId="3" fillId="10" borderId="4" xfId="0" applyNumberFormat="1" applyFont="1" applyFill="1" applyBorder="1" applyAlignment="1">
      <alignment wrapText="1"/>
    </xf>
    <xf numFmtId="0" fontId="3" fillId="10" borderId="4" xfId="0" applyFont="1" applyFill="1" applyBorder="1" applyAlignment="1">
      <alignment wrapText="1"/>
    </xf>
    <xf numFmtId="0" fontId="10" fillId="10" borderId="6" xfId="0" applyFont="1" applyFill="1" applyBorder="1" applyAlignment="1">
      <alignment wrapText="1"/>
    </xf>
    <xf numFmtId="165" fontId="4" fillId="10" borderId="4" xfId="0" applyNumberFormat="1" applyFont="1" applyFill="1" applyBorder="1" applyAlignment="1">
      <alignment wrapText="1"/>
    </xf>
    <xf numFmtId="0" fontId="8" fillId="0" borderId="0" xfId="0" applyFont="1" applyAlignment="1">
      <alignment vertical="top"/>
    </xf>
    <xf numFmtId="0" fontId="8" fillId="0" borderId="0" xfId="0" applyFont="1" applyAlignment="1">
      <alignment vertical="top" wrapText="1"/>
    </xf>
    <xf numFmtId="0" fontId="8" fillId="5" borderId="0" xfId="0" applyFont="1" applyFill="1" applyAlignment="1">
      <alignment vertical="top"/>
    </xf>
    <xf numFmtId="0" fontId="8" fillId="5" borderId="0" xfId="0" applyFont="1" applyFill="1" applyAlignment="1">
      <alignment vertical="top" wrapText="1"/>
    </xf>
    <xf numFmtId="15" fontId="8" fillId="0" borderId="0" xfId="0" applyNumberFormat="1" applyFont="1" applyAlignment="1">
      <alignment vertical="top"/>
    </xf>
    <xf numFmtId="0" fontId="3" fillId="6" borderId="0" xfId="0" applyFont="1" applyFill="1" applyAlignment="1">
      <alignment wrapText="1"/>
    </xf>
    <xf numFmtId="0" fontId="4" fillId="6" borderId="0" xfId="0" applyFont="1" applyFill="1" applyBorder="1"/>
    <xf numFmtId="0" fontId="3" fillId="6" borderId="19" xfId="0" applyFont="1" applyFill="1" applyBorder="1" applyAlignment="1">
      <alignment horizontal="left"/>
    </xf>
    <xf numFmtId="165" fontId="7" fillId="6" borderId="20" xfId="0" applyNumberFormat="1" applyFont="1" applyFill="1" applyBorder="1"/>
    <xf numFmtId="0" fontId="3" fillId="6" borderId="19" xfId="0" applyFont="1" applyFill="1" applyBorder="1" applyAlignment="1">
      <alignment horizontal="left" wrapText="1"/>
    </xf>
    <xf numFmtId="0" fontId="3" fillId="6" borderId="20" xfId="0" applyFont="1" applyFill="1" applyBorder="1"/>
    <xf numFmtId="0" fontId="3" fillId="6" borderId="21" xfId="0" applyFont="1" applyFill="1" applyBorder="1"/>
    <xf numFmtId="0" fontId="3" fillId="6" borderId="22" xfId="0" applyFont="1" applyFill="1" applyBorder="1"/>
    <xf numFmtId="0" fontId="3" fillId="6" borderId="23" xfId="0" applyFont="1" applyFill="1" applyBorder="1" applyAlignment="1">
      <alignment horizontal="left"/>
    </xf>
    <xf numFmtId="0" fontId="3" fillId="6" borderId="24" xfId="0" applyFont="1" applyFill="1" applyBorder="1"/>
    <xf numFmtId="0" fontId="3" fillId="6" borderId="25" xfId="0" applyFont="1" applyFill="1" applyBorder="1"/>
    <xf numFmtId="0" fontId="4" fillId="2" borderId="19" xfId="0" applyFont="1" applyFill="1" applyBorder="1"/>
    <xf numFmtId="0" fontId="4" fillId="2" borderId="20" xfId="0" applyFont="1" applyFill="1" applyBorder="1"/>
    <xf numFmtId="0" fontId="3" fillId="6" borderId="19" xfId="0" applyFont="1" applyFill="1" applyBorder="1"/>
    <xf numFmtId="0" fontId="3" fillId="6" borderId="19" xfId="0" applyFont="1" applyFill="1" applyBorder="1" applyAlignment="1">
      <alignment wrapText="1"/>
    </xf>
    <xf numFmtId="0" fontId="3" fillId="6" borderId="20" xfId="0" applyFont="1" applyFill="1" applyBorder="1" applyAlignment="1">
      <alignment wrapText="1"/>
    </xf>
    <xf numFmtId="0" fontId="3" fillId="6" borderId="21" xfId="0" applyFont="1" applyFill="1" applyBorder="1" applyAlignment="1">
      <alignment horizontal="left" vertical="top" wrapText="1"/>
    </xf>
    <xf numFmtId="0" fontId="3" fillId="6" borderId="21" xfId="0" applyFont="1" applyFill="1" applyBorder="1" applyAlignment="1">
      <alignment horizontal="left"/>
    </xf>
    <xf numFmtId="0" fontId="3" fillId="6" borderId="32" xfId="0" applyFont="1" applyFill="1" applyBorder="1"/>
    <xf numFmtId="0" fontId="3" fillId="6" borderId="1" xfId="0" applyFont="1" applyFill="1" applyBorder="1"/>
    <xf numFmtId="0" fontId="3" fillId="6" borderId="33" xfId="0" applyFont="1" applyFill="1" applyBorder="1"/>
    <xf numFmtId="0" fontId="0" fillId="6" borderId="28" xfId="0" applyFill="1" applyBorder="1" applyAlignment="1">
      <alignment vertical="top" wrapText="1"/>
    </xf>
    <xf numFmtId="0" fontId="0" fillId="6" borderId="29" xfId="0" applyFill="1" applyBorder="1" applyAlignment="1">
      <alignment vertical="top" wrapText="1"/>
    </xf>
    <xf numFmtId="165" fontId="3" fillId="6" borderId="22" xfId="0" applyNumberFormat="1" applyFont="1" applyFill="1" applyBorder="1"/>
    <xf numFmtId="0" fontId="3" fillId="10" borderId="35" xfId="0" applyFont="1" applyFill="1" applyBorder="1"/>
    <xf numFmtId="0" fontId="3" fillId="10" borderId="35" xfId="0" applyFont="1" applyFill="1" applyBorder="1" applyAlignment="1">
      <alignment wrapText="1"/>
    </xf>
    <xf numFmtId="0" fontId="3" fillId="0" borderId="19" xfId="0" applyFont="1" applyBorder="1" applyAlignment="1">
      <alignment wrapText="1"/>
    </xf>
    <xf numFmtId="0" fontId="4" fillId="10" borderId="34" xfId="0" applyFont="1" applyFill="1" applyBorder="1" applyAlignment="1">
      <alignment wrapText="1"/>
    </xf>
    <xf numFmtId="0" fontId="4" fillId="10" borderId="23" xfId="0" applyFont="1" applyFill="1" applyBorder="1" applyAlignment="1">
      <alignment wrapText="1"/>
    </xf>
    <xf numFmtId="0" fontId="3" fillId="10" borderId="36" xfId="0" applyFont="1" applyFill="1" applyBorder="1" applyAlignment="1">
      <alignment wrapText="1"/>
    </xf>
    <xf numFmtId="0" fontId="10" fillId="10" borderId="37" xfId="0" applyFont="1" applyFill="1" applyBorder="1" applyAlignment="1">
      <alignment wrapText="1"/>
    </xf>
    <xf numFmtId="165" fontId="4" fillId="10" borderId="36" xfId="0" applyNumberFormat="1" applyFont="1" applyFill="1" applyBorder="1" applyAlignment="1">
      <alignment wrapText="1"/>
    </xf>
    <xf numFmtId="0" fontId="3" fillId="10" borderId="38" xfId="0" applyFont="1" applyFill="1" applyBorder="1"/>
    <xf numFmtId="0" fontId="2" fillId="2" borderId="39" xfId="0" applyFont="1" applyFill="1" applyBorder="1"/>
    <xf numFmtId="0" fontId="3" fillId="2" borderId="40" xfId="0" applyFont="1" applyFill="1" applyBorder="1"/>
    <xf numFmtId="0" fontId="3" fillId="2" borderId="41" xfId="0" applyFont="1" applyFill="1" applyBorder="1"/>
    <xf numFmtId="0" fontId="4" fillId="5" borderId="19" xfId="0" applyFont="1" applyFill="1" applyBorder="1"/>
    <xf numFmtId="0" fontId="4" fillId="5" borderId="20" xfId="0" applyFont="1" applyFill="1" applyBorder="1"/>
    <xf numFmtId="0" fontId="3" fillId="6" borderId="23" xfId="0" applyFont="1" applyFill="1" applyBorder="1"/>
    <xf numFmtId="0" fontId="4" fillId="4" borderId="24" xfId="0" applyFont="1" applyFill="1" applyBorder="1"/>
    <xf numFmtId="0" fontId="3" fillId="11" borderId="21" xfId="0" applyFont="1" applyFill="1" applyBorder="1"/>
    <xf numFmtId="0" fontId="3" fillId="11" borderId="0" xfId="0" applyFont="1" applyFill="1" applyBorder="1"/>
    <xf numFmtId="0" fontId="3" fillId="11" borderId="22" xfId="0" applyFont="1" applyFill="1" applyBorder="1"/>
    <xf numFmtId="0" fontId="19" fillId="6" borderId="0" xfId="0" applyFont="1" applyFill="1" applyBorder="1"/>
    <xf numFmtId="0" fontId="20" fillId="6" borderId="0" xfId="0" applyFont="1" applyFill="1" applyBorder="1"/>
    <xf numFmtId="0" fontId="19" fillId="6" borderId="0" xfId="0" applyFont="1" applyFill="1" applyBorder="1" applyAlignment="1">
      <alignment wrapText="1"/>
    </xf>
    <xf numFmtId="2" fontId="16" fillId="6" borderId="0" xfId="0" applyNumberFormat="1" applyFont="1" applyFill="1" applyBorder="1"/>
    <xf numFmtId="167" fontId="3" fillId="6" borderId="2" xfId="0" applyNumberFormat="1" applyFont="1" applyFill="1" applyBorder="1"/>
    <xf numFmtId="0" fontId="16" fillId="6" borderId="21" xfId="0" applyFont="1" applyFill="1" applyBorder="1" applyAlignment="1">
      <alignment horizontal="left" vertical="top" wrapText="1"/>
    </xf>
    <xf numFmtId="0" fontId="16" fillId="6" borderId="0" xfId="0" applyFont="1" applyFill="1" applyBorder="1" applyAlignment="1">
      <alignment horizontal="left" vertical="top" wrapText="1"/>
    </xf>
    <xf numFmtId="0" fontId="16" fillId="6" borderId="22" xfId="0" applyFont="1" applyFill="1" applyBorder="1" applyAlignment="1">
      <alignment horizontal="left" vertical="top" wrapText="1"/>
    </xf>
    <xf numFmtId="166" fontId="4" fillId="3" borderId="2" xfId="0" applyNumberFormat="1" applyFont="1" applyFill="1" applyBorder="1"/>
    <xf numFmtId="165" fontId="4" fillId="3" borderId="2" xfId="0" applyNumberFormat="1" applyFont="1" applyFill="1" applyBorder="1"/>
    <xf numFmtId="165" fontId="16" fillId="6" borderId="0" xfId="0" applyNumberFormat="1" applyFont="1" applyFill="1" applyBorder="1"/>
    <xf numFmtId="0" fontId="16" fillId="6" borderId="0" xfId="0" applyFont="1" applyFill="1" applyBorder="1"/>
    <xf numFmtId="0" fontId="9" fillId="12" borderId="34" xfId="0" applyFont="1" applyFill="1" applyBorder="1"/>
    <xf numFmtId="0" fontId="9" fillId="12" borderId="5" xfId="0" applyFont="1" applyFill="1" applyBorder="1" applyAlignment="1">
      <alignment horizontal="right" wrapText="1"/>
    </xf>
    <xf numFmtId="0" fontId="9" fillId="12" borderId="5" xfId="0" applyFont="1" applyFill="1" applyBorder="1"/>
    <xf numFmtId="0" fontId="9" fillId="12" borderId="35" xfId="0" applyFont="1" applyFill="1" applyBorder="1"/>
    <xf numFmtId="0" fontId="3" fillId="12" borderId="0" xfId="0" applyFont="1" applyFill="1" applyBorder="1"/>
    <xf numFmtId="0" fontId="4" fillId="12" borderId="30" xfId="0" applyFont="1" applyFill="1" applyBorder="1" applyAlignment="1">
      <alignment horizontal="left"/>
    </xf>
    <xf numFmtId="0" fontId="3" fillId="12" borderId="3" xfId="0" applyFont="1" applyFill="1" applyBorder="1"/>
    <xf numFmtId="0" fontId="3" fillId="12" borderId="31" xfId="0" applyFont="1" applyFill="1" applyBorder="1"/>
    <xf numFmtId="0" fontId="19" fillId="12" borderId="0" xfId="0" applyFont="1" applyFill="1" applyBorder="1"/>
    <xf numFmtId="0" fontId="3" fillId="12" borderId="0" xfId="0" applyFont="1" applyFill="1"/>
    <xf numFmtId="0" fontId="4" fillId="12" borderId="16" xfId="0" applyFont="1" applyFill="1" applyBorder="1" applyAlignment="1">
      <alignment horizontal="left"/>
    </xf>
    <xf numFmtId="0" fontId="4" fillId="12" borderId="17" xfId="0" applyFont="1" applyFill="1" applyBorder="1"/>
    <xf numFmtId="0" fontId="4" fillId="12" borderId="18" xfId="0" applyFont="1" applyFill="1" applyBorder="1"/>
    <xf numFmtId="0" fontId="4" fillId="12" borderId="34" xfId="0" applyFont="1" applyFill="1" applyBorder="1"/>
    <xf numFmtId="0" fontId="4" fillId="12" borderId="5" xfId="0" applyFont="1" applyFill="1" applyBorder="1" applyAlignment="1">
      <alignment horizontal="right" wrapText="1"/>
    </xf>
    <xf numFmtId="0" fontId="4" fillId="12" borderId="5" xfId="0" applyFont="1" applyFill="1" applyBorder="1"/>
    <xf numFmtId="0" fontId="4" fillId="12" borderId="35" xfId="0" applyFont="1" applyFill="1" applyBorder="1"/>
    <xf numFmtId="0" fontId="4" fillId="12" borderId="19" xfId="0" applyFont="1" applyFill="1" applyBorder="1" applyAlignment="1">
      <alignment horizontal="left"/>
    </xf>
    <xf numFmtId="0" fontId="4" fillId="12" borderId="2" xfId="0" applyFont="1" applyFill="1" applyBorder="1"/>
    <xf numFmtId="0" fontId="4" fillId="12" borderId="20" xfId="0" applyFont="1" applyFill="1" applyBorder="1"/>
    <xf numFmtId="168" fontId="3" fillId="10" borderId="2" xfId="0" applyNumberFormat="1" applyFont="1" applyFill="1" applyBorder="1"/>
    <xf numFmtId="0" fontId="3" fillId="12" borderId="5" xfId="0" applyFont="1" applyFill="1" applyBorder="1"/>
    <xf numFmtId="0" fontId="3" fillId="6" borderId="21" xfId="0" applyFont="1" applyFill="1" applyBorder="1" applyAlignment="1">
      <alignment wrapText="1"/>
    </xf>
    <xf numFmtId="0" fontId="3" fillId="6" borderId="22" xfId="0" applyFont="1" applyFill="1" applyBorder="1" applyAlignment="1">
      <alignment wrapText="1"/>
    </xf>
    <xf numFmtId="0" fontId="3" fillId="12" borderId="35" xfId="0" applyFont="1" applyFill="1" applyBorder="1"/>
    <xf numFmtId="0" fontId="4" fillId="12" borderId="21" xfId="0" applyFont="1" applyFill="1" applyBorder="1" applyAlignment="1">
      <alignment horizontal="left"/>
    </xf>
    <xf numFmtId="0" fontId="3" fillId="12" borderId="22" xfId="0" applyFont="1" applyFill="1" applyBorder="1"/>
    <xf numFmtId="0" fontId="4" fillId="12" borderId="21" xfId="0" applyFont="1" applyFill="1" applyBorder="1"/>
    <xf numFmtId="0" fontId="3" fillId="6" borderId="0" xfId="0" applyFont="1" applyFill="1" applyBorder="1" applyAlignment="1">
      <alignment horizontal="left" vertical="top" wrapText="1"/>
    </xf>
    <xf numFmtId="0" fontId="4" fillId="6" borderId="0" xfId="0" applyFont="1" applyFill="1" applyBorder="1" applyAlignment="1">
      <alignment wrapText="1"/>
    </xf>
    <xf numFmtId="166" fontId="16" fillId="5" borderId="2" xfId="43" applyNumberFormat="1" applyFont="1" applyFill="1" applyBorder="1"/>
    <xf numFmtId="166" fontId="3" fillId="5" borderId="2" xfId="43" applyNumberFormat="1" applyFont="1" applyFill="1" applyBorder="1"/>
    <xf numFmtId="168" fontId="3" fillId="6" borderId="2" xfId="0" applyNumberFormat="1" applyFont="1" applyFill="1" applyBorder="1" applyAlignment="1">
      <alignment horizontal="right"/>
    </xf>
    <xf numFmtId="166" fontId="3" fillId="6" borderId="2" xfId="43" applyNumberFormat="1" applyFont="1" applyFill="1" applyBorder="1" applyAlignment="1">
      <alignment horizontal="right"/>
    </xf>
    <xf numFmtId="0" fontId="3" fillId="0" borderId="2" xfId="0" applyFont="1" applyBorder="1" applyAlignment="1">
      <alignment horizontal="right"/>
    </xf>
    <xf numFmtId="166" fontId="16" fillId="6" borderId="2" xfId="43" applyNumberFormat="1" applyFont="1" applyFill="1" applyBorder="1" applyAlignment="1">
      <alignment horizontal="right"/>
    </xf>
    <xf numFmtId="0" fontId="15" fillId="5" borderId="15"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15" fillId="5" borderId="2" xfId="0" applyFont="1" applyFill="1" applyBorder="1" applyAlignment="1">
      <alignment horizontal="center" vertical="center" wrapText="1"/>
    </xf>
    <xf numFmtId="0" fontId="4" fillId="8" borderId="2" xfId="0" applyFont="1" applyFill="1" applyBorder="1" applyAlignment="1">
      <alignment horizontal="center" vertical="center" wrapText="1"/>
    </xf>
    <xf numFmtId="169" fontId="3" fillId="6" borderId="2" xfId="0" applyNumberFormat="1" applyFont="1" applyFill="1" applyBorder="1" applyAlignment="1">
      <alignment horizontal="right"/>
    </xf>
    <xf numFmtId="169" fontId="3" fillId="0" borderId="2" xfId="0" applyNumberFormat="1" applyFont="1" applyBorder="1" applyAlignment="1">
      <alignment horizontal="right"/>
    </xf>
    <xf numFmtId="0" fontId="15" fillId="5" borderId="2" xfId="0" applyFont="1" applyFill="1" applyBorder="1" applyAlignment="1">
      <alignment horizontal="left"/>
    </xf>
    <xf numFmtId="0" fontId="4" fillId="2" borderId="2" xfId="0" applyFont="1" applyFill="1" applyBorder="1" applyAlignment="1">
      <alignment horizontal="left"/>
    </xf>
    <xf numFmtId="0" fontId="4" fillId="2" borderId="4" xfId="0" applyFont="1" applyFill="1" applyBorder="1" applyAlignment="1">
      <alignment horizontal="left"/>
    </xf>
    <xf numFmtId="0" fontId="0" fillId="0" borderId="35" xfId="0" applyBorder="1" applyAlignment="1"/>
    <xf numFmtId="0" fontId="8" fillId="2" borderId="39" xfId="0" applyFont="1" applyFill="1" applyBorder="1" applyAlignment="1">
      <alignment horizontal="left" vertical="top" wrapText="1"/>
    </xf>
    <xf numFmtId="0" fontId="8" fillId="2" borderId="40" xfId="0" applyFont="1" applyFill="1" applyBorder="1" applyAlignment="1">
      <alignment horizontal="left" vertical="top" wrapText="1"/>
    </xf>
    <xf numFmtId="0" fontId="8" fillId="2" borderId="41" xfId="0" applyFont="1" applyFill="1" applyBorder="1" applyAlignment="1">
      <alignment horizontal="left" vertical="top" wrapText="1"/>
    </xf>
    <xf numFmtId="0" fontId="3" fillId="4" borderId="42" xfId="0" applyFont="1" applyFill="1" applyBorder="1" applyAlignment="1">
      <alignment horizontal="left" vertical="top" wrapText="1"/>
    </xf>
    <xf numFmtId="0" fontId="3" fillId="4" borderId="43" xfId="0" applyFont="1" applyFill="1" applyBorder="1" applyAlignment="1">
      <alignment horizontal="left" vertical="top" wrapText="1"/>
    </xf>
    <xf numFmtId="0" fontId="3" fillId="4" borderId="44" xfId="0" applyFont="1" applyFill="1" applyBorder="1" applyAlignment="1">
      <alignment horizontal="left" vertical="top" wrapText="1"/>
    </xf>
    <xf numFmtId="0" fontId="3" fillId="8" borderId="2" xfId="0" applyFont="1" applyFill="1" applyBorder="1" applyAlignment="1">
      <alignment horizontal="left" vertical="top" wrapText="1"/>
    </xf>
    <xf numFmtId="0" fontId="3" fillId="8" borderId="2" xfId="0" applyFont="1" applyFill="1" applyBorder="1" applyAlignment="1">
      <alignment horizontal="left" vertical="top"/>
    </xf>
    <xf numFmtId="0" fontId="3" fillId="5" borderId="8"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9" xfId="0" applyFont="1" applyFill="1" applyBorder="1" applyAlignment="1">
      <alignment horizontal="left" vertical="top" wrapText="1"/>
    </xf>
    <xf numFmtId="0" fontId="3" fillId="5" borderId="10" xfId="0" applyFont="1" applyFill="1" applyBorder="1" applyAlignment="1">
      <alignment horizontal="left" vertical="top" wrapText="1"/>
    </xf>
    <xf numFmtId="0" fontId="3" fillId="5" borderId="0" xfId="0" applyFont="1" applyFill="1" applyBorder="1" applyAlignment="1">
      <alignment horizontal="left" vertical="top" wrapText="1"/>
    </xf>
    <xf numFmtId="0" fontId="3" fillId="5" borderId="11" xfId="0" applyFont="1" applyFill="1" applyBorder="1" applyAlignment="1">
      <alignment horizontal="left" vertical="top" wrapText="1"/>
    </xf>
    <xf numFmtId="0" fontId="3" fillId="5" borderId="12" xfId="0" applyFont="1" applyFill="1" applyBorder="1" applyAlignment="1">
      <alignment horizontal="left" vertical="top" wrapText="1"/>
    </xf>
    <xf numFmtId="0" fontId="3" fillId="5" borderId="7" xfId="0" applyFont="1" applyFill="1" applyBorder="1" applyAlignment="1">
      <alignment horizontal="left" vertical="top" wrapText="1"/>
    </xf>
    <xf numFmtId="0" fontId="3" fillId="5" borderId="13" xfId="0" applyFont="1" applyFill="1" applyBorder="1" applyAlignment="1">
      <alignment horizontal="left" vertical="top" wrapText="1"/>
    </xf>
    <xf numFmtId="0" fontId="3" fillId="4" borderId="26" xfId="0" applyFont="1" applyFill="1" applyBorder="1" applyAlignment="1">
      <alignment vertical="top" wrapText="1"/>
    </xf>
    <xf numFmtId="0" fontId="0" fillId="4" borderId="14" xfId="0" applyFill="1" applyBorder="1" applyAlignment="1">
      <alignment vertical="top" wrapText="1"/>
    </xf>
    <xf numFmtId="0" fontId="0" fillId="4" borderId="27" xfId="0" applyFill="1" applyBorder="1" applyAlignment="1">
      <alignment vertical="top" wrapText="1"/>
    </xf>
    <xf numFmtId="0" fontId="0" fillId="4" borderId="21" xfId="0" applyFill="1" applyBorder="1" applyAlignment="1">
      <alignment vertical="top" wrapText="1"/>
    </xf>
    <xf numFmtId="0" fontId="0" fillId="4" borderId="0" xfId="0" applyFill="1" applyBorder="1" applyAlignment="1">
      <alignment vertical="top" wrapText="1"/>
    </xf>
    <xf numFmtId="0" fontId="0" fillId="4" borderId="22" xfId="0" applyFill="1" applyBorder="1" applyAlignment="1">
      <alignment vertical="top" wrapText="1"/>
    </xf>
    <xf numFmtId="0" fontId="0" fillId="4" borderId="28" xfId="0" applyFill="1" applyBorder="1" applyAlignment="1">
      <alignment vertical="top" wrapText="1"/>
    </xf>
    <xf numFmtId="0" fontId="0" fillId="4" borderId="7" xfId="0" applyFill="1" applyBorder="1" applyAlignment="1">
      <alignment vertical="top" wrapText="1"/>
    </xf>
    <xf numFmtId="0" fontId="0" fillId="4" borderId="29" xfId="0" applyFill="1" applyBorder="1" applyAlignment="1">
      <alignment vertical="top" wrapText="1"/>
    </xf>
    <xf numFmtId="0" fontId="3" fillId="5" borderId="8" xfId="0" applyFont="1" applyFill="1" applyBorder="1" applyAlignment="1">
      <alignment vertical="top" wrapText="1"/>
    </xf>
    <xf numFmtId="0" fontId="0" fillId="5" borderId="3" xfId="0" applyFill="1" applyBorder="1" applyAlignment="1">
      <alignment vertical="top" wrapText="1"/>
    </xf>
    <xf numFmtId="0" fontId="0" fillId="5" borderId="9" xfId="0" applyFill="1" applyBorder="1" applyAlignment="1">
      <alignment vertical="top" wrapText="1"/>
    </xf>
    <xf numFmtId="0" fontId="0" fillId="5" borderId="10" xfId="0" applyFill="1" applyBorder="1" applyAlignment="1">
      <alignment vertical="top" wrapText="1"/>
    </xf>
    <xf numFmtId="0" fontId="0" fillId="5" borderId="0" xfId="0" applyFill="1" applyBorder="1" applyAlignment="1">
      <alignment vertical="top" wrapText="1"/>
    </xf>
    <xf numFmtId="0" fontId="0" fillId="5" borderId="11" xfId="0" applyFill="1" applyBorder="1" applyAlignment="1">
      <alignment vertical="top" wrapText="1"/>
    </xf>
    <xf numFmtId="0" fontId="0" fillId="5" borderId="12" xfId="0" applyFill="1" applyBorder="1" applyAlignment="1">
      <alignment vertical="top" wrapText="1"/>
    </xf>
    <xf numFmtId="0" fontId="0" fillId="5" borderId="7" xfId="0" applyFill="1" applyBorder="1" applyAlignment="1">
      <alignment vertical="top" wrapText="1"/>
    </xf>
    <xf numFmtId="0" fontId="0" fillId="5" borderId="13" xfId="0" applyFill="1" applyBorder="1" applyAlignment="1">
      <alignment vertical="top" wrapText="1"/>
    </xf>
    <xf numFmtId="0" fontId="3" fillId="4" borderId="16" xfId="0" applyFont="1" applyFill="1" applyBorder="1" applyAlignment="1">
      <alignment horizontal="left" vertical="top" wrapText="1"/>
    </xf>
    <xf numFmtId="0" fontId="3" fillId="4" borderId="17" xfId="0" applyFont="1" applyFill="1" applyBorder="1" applyAlignment="1">
      <alignment horizontal="left" vertical="top" wrapText="1"/>
    </xf>
    <xf numFmtId="0" fontId="3" fillId="4" borderId="18" xfId="0" applyFont="1" applyFill="1" applyBorder="1" applyAlignment="1">
      <alignment horizontal="left" vertical="top" wrapText="1"/>
    </xf>
    <xf numFmtId="0" fontId="3" fillId="4" borderId="19" xfId="0" applyFont="1" applyFill="1" applyBorder="1" applyAlignment="1">
      <alignment horizontal="left" vertical="top" wrapText="1"/>
    </xf>
    <xf numFmtId="0" fontId="3" fillId="4" borderId="2" xfId="0" applyFont="1" applyFill="1" applyBorder="1" applyAlignment="1">
      <alignment horizontal="left" vertical="top" wrapText="1"/>
    </xf>
    <xf numFmtId="0" fontId="3" fillId="4" borderId="20" xfId="0" applyFont="1" applyFill="1" applyBorder="1" applyAlignment="1">
      <alignment horizontal="left" vertical="top" wrapText="1"/>
    </xf>
    <xf numFmtId="0" fontId="3" fillId="4" borderId="23" xfId="0" applyFont="1" applyFill="1" applyBorder="1" applyAlignment="1">
      <alignment horizontal="left" vertical="top" wrapText="1"/>
    </xf>
    <xf numFmtId="0" fontId="3" fillId="4" borderId="24" xfId="0" applyFont="1" applyFill="1" applyBorder="1" applyAlignment="1">
      <alignment horizontal="left" vertical="top" wrapText="1"/>
    </xf>
    <xf numFmtId="0" fontId="3" fillId="4" borderId="25" xfId="0" applyFont="1" applyFill="1" applyBorder="1" applyAlignment="1">
      <alignment horizontal="left" vertical="top" wrapText="1"/>
    </xf>
    <xf numFmtId="0" fontId="21" fillId="9" borderId="26" xfId="0" applyFont="1" applyFill="1" applyBorder="1" applyAlignment="1">
      <alignment horizontal="left" vertical="top" wrapText="1"/>
    </xf>
    <xf numFmtId="0" fontId="21" fillId="9" borderId="14" xfId="0" applyFont="1" applyFill="1" applyBorder="1" applyAlignment="1">
      <alignment horizontal="left" vertical="top"/>
    </xf>
    <xf numFmtId="0" fontId="0" fillId="0" borderId="14" xfId="0" applyBorder="1" applyAlignment="1"/>
    <xf numFmtId="0" fontId="0" fillId="0" borderId="27" xfId="0" applyBorder="1" applyAlignment="1"/>
    <xf numFmtId="0" fontId="21" fillId="9" borderId="21" xfId="0" applyFont="1" applyFill="1" applyBorder="1" applyAlignment="1">
      <alignment horizontal="left" vertical="top"/>
    </xf>
    <xf numFmtId="0" fontId="21" fillId="9" borderId="0" xfId="0" applyFont="1" applyFill="1" applyBorder="1" applyAlignment="1">
      <alignment horizontal="left" vertical="top"/>
    </xf>
    <xf numFmtId="0" fontId="0" fillId="0" borderId="0" xfId="0" applyBorder="1" applyAlignment="1"/>
    <xf numFmtId="0" fontId="0" fillId="0" borderId="22" xfId="0" applyBorder="1" applyAlignment="1"/>
    <xf numFmtId="0" fontId="21" fillId="9" borderId="32" xfId="0" applyFont="1" applyFill="1" applyBorder="1" applyAlignment="1">
      <alignment horizontal="left" vertical="top"/>
    </xf>
    <xf numFmtId="0" fontId="21" fillId="9" borderId="1" xfId="0" applyFont="1" applyFill="1" applyBorder="1" applyAlignment="1">
      <alignment horizontal="left" vertical="top"/>
    </xf>
    <xf numFmtId="0" fontId="0" fillId="0" borderId="1" xfId="0" applyBorder="1" applyAlignment="1"/>
    <xf numFmtId="0" fontId="0" fillId="0" borderId="33" xfId="0" applyBorder="1" applyAlignment="1"/>
  </cellXfs>
  <cellStyles count="270">
    <cellStyle name="Comma" xfId="43" builtinId="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70"/>
  <sheetViews>
    <sheetView tabSelected="1" showRuler="0" topLeftCell="A2" workbookViewId="0">
      <selection activeCell="L3" sqref="L3"/>
    </sheetView>
  </sheetViews>
  <sheetFormatPr baseColWidth="10" defaultRowHeight="12" x14ac:dyDescent="0.15"/>
  <cols>
    <col min="1" max="1" width="35.33203125" style="1" bestFit="1" customWidth="1"/>
    <col min="2" max="2" width="11.1640625" style="1" customWidth="1"/>
    <col min="3" max="3" width="10.6640625" style="1" customWidth="1"/>
    <col min="4" max="4" width="20.33203125" style="1" customWidth="1"/>
    <col min="5" max="5" width="6.33203125" style="1" customWidth="1"/>
    <col min="6" max="6" width="7" style="1" customWidth="1"/>
    <col min="7" max="7" width="22.1640625" style="1" customWidth="1"/>
    <col min="8" max="8" width="9" style="1" customWidth="1"/>
    <col min="9" max="9" width="11.6640625" style="1" customWidth="1"/>
    <col min="10" max="10" width="9.1640625" style="18" customWidth="1"/>
    <col min="11" max="11" width="25.1640625" style="1" customWidth="1"/>
    <col min="12" max="12" width="9.83203125" style="1" customWidth="1"/>
    <col min="13" max="13" width="8.5" style="1" customWidth="1"/>
    <col min="14" max="14" width="6" style="1" customWidth="1"/>
    <col min="15" max="15" width="28.5" style="1" bestFit="1" customWidth="1"/>
    <col min="16" max="16" width="11.33203125" style="1" bestFit="1" customWidth="1"/>
    <col min="17" max="17" width="10.83203125" style="1"/>
    <col min="18" max="18" width="11.83203125" style="1" bestFit="1" customWidth="1"/>
    <col min="19" max="19" width="19.1640625" style="1" bestFit="1" customWidth="1"/>
    <col min="20" max="16384" width="10.83203125" style="1"/>
  </cols>
  <sheetData>
    <row r="1" spans="1:19" ht="17" thickBot="1" x14ac:dyDescent="0.25">
      <c r="A1" s="93" t="s">
        <v>103</v>
      </c>
      <c r="B1" s="94"/>
      <c r="C1" s="94"/>
      <c r="D1" s="94"/>
      <c r="E1" s="94"/>
      <c r="F1" s="94"/>
      <c r="G1" s="94"/>
      <c r="H1" s="94"/>
      <c r="I1" s="95"/>
      <c r="J1" s="103"/>
      <c r="K1" s="8"/>
      <c r="L1" s="8"/>
      <c r="M1" s="8"/>
      <c r="N1" s="8"/>
      <c r="O1" s="16"/>
      <c r="P1" s="16"/>
      <c r="Q1" s="16"/>
      <c r="R1" s="16"/>
      <c r="S1" s="8"/>
    </row>
    <row r="2" spans="1:19" ht="159" customHeight="1" thickBot="1" x14ac:dyDescent="0.2">
      <c r="A2" s="161" t="s">
        <v>82</v>
      </c>
      <c r="B2" s="162"/>
      <c r="C2" s="162"/>
      <c r="D2" s="162"/>
      <c r="E2" s="162"/>
      <c r="F2" s="162"/>
      <c r="G2" s="162"/>
      <c r="H2" s="162"/>
      <c r="I2" s="163"/>
      <c r="J2" s="103"/>
      <c r="K2" s="8"/>
      <c r="L2" s="8"/>
      <c r="M2" s="8"/>
      <c r="N2" s="8"/>
      <c r="O2" s="164" t="s">
        <v>60</v>
      </c>
      <c r="P2" s="165"/>
      <c r="Q2" s="166"/>
      <c r="R2" s="16"/>
      <c r="S2" s="8"/>
    </row>
    <row r="3" spans="1:19" ht="14" x14ac:dyDescent="0.15">
      <c r="A3" s="45"/>
      <c r="B3" s="45"/>
      <c r="C3" s="45"/>
      <c r="D3" s="45"/>
      <c r="E3" s="45"/>
      <c r="F3" s="45"/>
      <c r="G3" s="45"/>
      <c r="H3" s="45"/>
      <c r="I3" s="16"/>
      <c r="J3" s="103"/>
      <c r="K3" s="8"/>
      <c r="L3" s="8"/>
      <c r="M3" s="8"/>
      <c r="N3" s="8"/>
      <c r="O3" s="96" t="s">
        <v>37</v>
      </c>
      <c r="P3" s="10"/>
      <c r="Q3" s="97"/>
      <c r="R3" s="16"/>
      <c r="S3" s="8"/>
    </row>
    <row r="4" spans="1:19" ht="14" x14ac:dyDescent="0.15">
      <c r="A4" s="45"/>
      <c r="B4" s="45"/>
      <c r="C4" s="45"/>
      <c r="D4" s="45"/>
      <c r="E4" s="45"/>
      <c r="F4" s="45"/>
      <c r="G4" s="45"/>
      <c r="H4" s="45"/>
      <c r="I4" s="16"/>
      <c r="J4" s="103"/>
      <c r="K4" s="8"/>
      <c r="L4" s="8"/>
      <c r="M4" s="8"/>
      <c r="N4" s="8"/>
      <c r="O4" s="73" t="s">
        <v>83</v>
      </c>
      <c r="P4" s="15">
        <v>0.85</v>
      </c>
      <c r="Q4" s="65"/>
      <c r="R4" s="16"/>
      <c r="S4" s="8"/>
    </row>
    <row r="5" spans="1:19" ht="14" x14ac:dyDescent="0.15">
      <c r="A5" s="45"/>
      <c r="B5" s="45"/>
      <c r="C5" s="45"/>
      <c r="D5" s="45"/>
      <c r="E5" s="45"/>
      <c r="F5" s="45"/>
      <c r="G5" s="45"/>
      <c r="H5" s="45"/>
      <c r="I5" s="16"/>
      <c r="J5" s="103"/>
      <c r="K5" s="8"/>
      <c r="L5" s="8"/>
      <c r="M5" s="8"/>
      <c r="N5" s="8"/>
      <c r="O5" s="73" t="s">
        <v>100</v>
      </c>
      <c r="P5" s="41">
        <v>0.3</v>
      </c>
      <c r="Q5" s="65"/>
      <c r="R5" s="16"/>
      <c r="S5" s="8"/>
    </row>
    <row r="6" spans="1:19" ht="15" thickBot="1" x14ac:dyDescent="0.25">
      <c r="A6" s="21"/>
      <c r="B6" s="8"/>
      <c r="C6" s="8"/>
      <c r="D6" s="8"/>
      <c r="E6" s="8"/>
      <c r="F6" s="16"/>
      <c r="G6" s="16"/>
      <c r="H6" s="16"/>
      <c r="I6" s="16"/>
      <c r="J6" s="103"/>
      <c r="K6" s="8"/>
      <c r="L6" s="8"/>
      <c r="M6" s="8"/>
      <c r="N6" s="8"/>
      <c r="O6" s="73" t="s">
        <v>78</v>
      </c>
      <c r="P6" s="41">
        <v>0.15</v>
      </c>
      <c r="Q6" s="106">
        <f>1/P6</f>
        <v>6.666666666666667</v>
      </c>
      <c r="R6" s="16"/>
      <c r="S6" s="8"/>
    </row>
    <row r="7" spans="1:19" ht="12" customHeight="1" x14ac:dyDescent="0.15">
      <c r="A7" s="178" t="s">
        <v>80</v>
      </c>
      <c r="B7" s="179"/>
      <c r="C7" s="179"/>
      <c r="D7" s="179"/>
      <c r="E7" s="180"/>
      <c r="F7" s="30"/>
      <c r="G7" s="205" t="s">
        <v>131</v>
      </c>
      <c r="H7" s="206"/>
      <c r="I7" s="206"/>
      <c r="J7" s="207"/>
      <c r="K7" s="207"/>
      <c r="L7" s="207"/>
      <c r="M7" s="208"/>
      <c r="N7" s="8"/>
      <c r="O7" s="73" t="s">
        <v>45</v>
      </c>
      <c r="P7" s="43">
        <v>200</v>
      </c>
      <c r="Q7" s="65" t="s">
        <v>2</v>
      </c>
      <c r="R7" s="16"/>
      <c r="S7" s="8"/>
    </row>
    <row r="8" spans="1:19" ht="12" customHeight="1" thickBot="1" x14ac:dyDescent="0.2">
      <c r="A8" s="181"/>
      <c r="B8" s="182"/>
      <c r="C8" s="182"/>
      <c r="D8" s="182"/>
      <c r="E8" s="183"/>
      <c r="F8" s="30"/>
      <c r="G8" s="209"/>
      <c r="H8" s="210"/>
      <c r="I8" s="210"/>
      <c r="J8" s="211"/>
      <c r="K8" s="211"/>
      <c r="L8" s="211"/>
      <c r="M8" s="212"/>
      <c r="N8" s="8"/>
      <c r="O8" s="98" t="s">
        <v>39</v>
      </c>
      <c r="P8" s="99">
        <v>5</v>
      </c>
      <c r="Q8" s="70" t="s">
        <v>2</v>
      </c>
      <c r="R8" s="16"/>
      <c r="S8" s="8"/>
    </row>
    <row r="9" spans="1:19" ht="12" customHeight="1" x14ac:dyDescent="0.15">
      <c r="A9" s="181"/>
      <c r="B9" s="182"/>
      <c r="C9" s="182"/>
      <c r="D9" s="182"/>
      <c r="E9" s="183"/>
      <c r="F9" s="30"/>
      <c r="G9" s="209"/>
      <c r="H9" s="210"/>
      <c r="I9" s="210"/>
      <c r="J9" s="211"/>
      <c r="K9" s="211"/>
      <c r="L9" s="211"/>
      <c r="M9" s="212"/>
      <c r="N9" s="8"/>
      <c r="O9" s="16"/>
      <c r="P9" s="47"/>
      <c r="Q9" s="16"/>
      <c r="R9" s="16"/>
      <c r="S9" s="8"/>
    </row>
    <row r="10" spans="1:19" ht="14" customHeight="1" x14ac:dyDescent="0.15">
      <c r="A10" s="184"/>
      <c r="B10" s="185"/>
      <c r="C10" s="185"/>
      <c r="D10" s="185"/>
      <c r="E10" s="186"/>
      <c r="F10" s="30"/>
      <c r="G10" s="209"/>
      <c r="H10" s="210"/>
      <c r="I10" s="210"/>
      <c r="J10" s="211"/>
      <c r="K10" s="211"/>
      <c r="L10" s="211"/>
      <c r="M10" s="212"/>
      <c r="N10" s="8"/>
      <c r="O10" s="16"/>
      <c r="P10" s="16"/>
      <c r="Q10" s="16"/>
      <c r="R10" s="16"/>
      <c r="S10" s="8"/>
    </row>
    <row r="11" spans="1:19" s="8" customFormat="1" ht="14" customHeight="1" thickBot="1" x14ac:dyDescent="0.2">
      <c r="A11" s="81"/>
      <c r="B11" s="44"/>
      <c r="C11" s="44"/>
      <c r="D11" s="44"/>
      <c r="E11" s="82"/>
      <c r="F11" s="30"/>
      <c r="G11" s="213"/>
      <c r="H11" s="214"/>
      <c r="I11" s="214"/>
      <c r="J11" s="215"/>
      <c r="K11" s="215"/>
      <c r="L11" s="215"/>
      <c r="M11" s="216"/>
      <c r="N11" s="16"/>
      <c r="O11" s="16"/>
      <c r="P11" s="16"/>
      <c r="Q11" s="16"/>
      <c r="R11" s="16"/>
    </row>
    <row r="12" spans="1:19" x14ac:dyDescent="0.15">
      <c r="A12" s="115" t="s">
        <v>77</v>
      </c>
      <c r="B12" s="116" t="s">
        <v>32</v>
      </c>
      <c r="C12" s="116"/>
      <c r="D12" s="117"/>
      <c r="E12" s="118"/>
      <c r="F12" s="119"/>
      <c r="G12" s="140" t="s">
        <v>124</v>
      </c>
      <c r="H12" s="119"/>
      <c r="I12" s="141"/>
      <c r="J12" s="123"/>
      <c r="K12" s="142" t="s">
        <v>90</v>
      </c>
      <c r="L12" s="119"/>
      <c r="M12" s="141"/>
      <c r="N12" s="124"/>
      <c r="O12" s="125" t="s">
        <v>49</v>
      </c>
      <c r="P12" s="126" t="s">
        <v>5</v>
      </c>
      <c r="Q12" s="127"/>
      <c r="R12" s="16"/>
      <c r="S12" s="8"/>
    </row>
    <row r="13" spans="1:19" x14ac:dyDescent="0.15">
      <c r="A13" s="66" t="s">
        <v>15</v>
      </c>
      <c r="B13" s="17">
        <v>5000</v>
      </c>
      <c r="C13" s="6" t="s">
        <v>27</v>
      </c>
      <c r="D13" s="16"/>
      <c r="E13" s="67"/>
      <c r="F13" s="16"/>
      <c r="G13" s="71" t="s">
        <v>116</v>
      </c>
      <c r="H13" s="111">
        <f>B13</f>
        <v>5000</v>
      </c>
      <c r="I13" s="72" t="s">
        <v>121</v>
      </c>
      <c r="J13" s="103"/>
      <c r="K13" s="73" t="s">
        <v>125</v>
      </c>
      <c r="L13" s="9">
        <f>SUM(P13:P15)</f>
        <v>0.20136212697252631</v>
      </c>
      <c r="M13" s="65" t="s">
        <v>28</v>
      </c>
      <c r="N13" s="8"/>
      <c r="O13" s="62" t="s">
        <v>90</v>
      </c>
      <c r="P13" s="48">
        <f>$B$57*$P$6*$B$13*($P$7 + $B$14) / (1024^4)</f>
        <v>6.1882019508630037E-2</v>
      </c>
      <c r="Q13" s="63" t="s">
        <v>30</v>
      </c>
      <c r="R13" s="16"/>
      <c r="S13" s="8"/>
    </row>
    <row r="14" spans="1:19" x14ac:dyDescent="0.15">
      <c r="A14" s="66" t="s">
        <v>16</v>
      </c>
      <c r="B14" s="3">
        <v>850</v>
      </c>
      <c r="C14" s="6" t="s">
        <v>2</v>
      </c>
      <c r="D14" s="23"/>
      <c r="E14" s="83"/>
      <c r="F14" s="16"/>
      <c r="G14" s="73" t="s">
        <v>118</v>
      </c>
      <c r="H14" s="49">
        <f>ROUNDUP(H13/K51,0)</f>
        <v>1</v>
      </c>
      <c r="I14" s="65"/>
      <c r="J14" s="103"/>
      <c r="K14" s="73" t="s">
        <v>126</v>
      </c>
      <c r="L14" s="135">
        <f>J51/L$13*$P$4</f>
        <v>22.794753258770733</v>
      </c>
      <c r="M14" s="65" t="s">
        <v>128</v>
      </c>
      <c r="N14" s="8"/>
      <c r="O14" s="64" t="s">
        <v>44</v>
      </c>
      <c r="P14" s="48">
        <f>($B$57*$P$16*$B$13 ) / (1024^4)</f>
        <v>3.92901711165905E-2</v>
      </c>
      <c r="Q14" s="63" t="s">
        <v>30</v>
      </c>
      <c r="R14" s="16"/>
      <c r="S14" s="8"/>
    </row>
    <row r="15" spans="1:19" x14ac:dyDescent="0.15">
      <c r="A15" s="66"/>
      <c r="B15" s="27"/>
      <c r="C15" s="28"/>
      <c r="D15" s="23"/>
      <c r="E15" s="83"/>
      <c r="F15" s="16"/>
      <c r="G15" s="73" t="s">
        <v>119</v>
      </c>
      <c r="H15" s="49">
        <f>ROUNDUP(H13/K52,0)</f>
        <v>1</v>
      </c>
      <c r="I15" s="65"/>
      <c r="J15" s="103"/>
      <c r="K15" s="73" t="s">
        <v>127</v>
      </c>
      <c r="L15" s="135">
        <f>J53/L$13*$P$4</f>
        <v>151.9650217251382</v>
      </c>
      <c r="M15" s="65" t="s">
        <v>128</v>
      </c>
      <c r="N15" s="8"/>
      <c r="O15" s="64" t="s">
        <v>29</v>
      </c>
      <c r="P15" s="48">
        <f>($B$57*B13*$B$14*$P$5 ) / (1024^4)</f>
        <v>0.10018993634730577</v>
      </c>
      <c r="Q15" s="63" t="s">
        <v>30</v>
      </c>
      <c r="R15" s="16"/>
      <c r="S15" s="8"/>
    </row>
    <row r="16" spans="1:19" ht="16" x14ac:dyDescent="0.2">
      <c r="A16" s="71" t="s">
        <v>87</v>
      </c>
      <c r="B16" s="4" t="s">
        <v>25</v>
      </c>
      <c r="C16" s="7" t="s">
        <v>26</v>
      </c>
      <c r="D16" s="159" t="s">
        <v>115</v>
      </c>
      <c r="E16" s="160"/>
      <c r="F16" s="33"/>
      <c r="G16" s="73" t="s">
        <v>135</v>
      </c>
      <c r="H16" s="49">
        <f>ROUNDUP(H14/K54,0)</f>
        <v>1</v>
      </c>
      <c r="I16" s="65"/>
      <c r="J16" s="104"/>
      <c r="K16" s="73" t="s">
        <v>130</v>
      </c>
      <c r="L16" s="135">
        <f>J54/L$13*$P$4</f>
        <v>58.50653336417821</v>
      </c>
      <c r="M16" s="65" t="s">
        <v>128</v>
      </c>
      <c r="N16" s="8"/>
      <c r="O16" s="62" t="s">
        <v>81</v>
      </c>
      <c r="P16" s="14">
        <f>(B18*P8)</f>
        <v>100</v>
      </c>
      <c r="Q16" s="65" t="s">
        <v>91</v>
      </c>
      <c r="R16" s="16"/>
      <c r="S16" s="8"/>
    </row>
    <row r="17" spans="1:19" ht="12" customHeight="1" thickBot="1" x14ac:dyDescent="0.2">
      <c r="A17" s="73" t="s">
        <v>84</v>
      </c>
      <c r="B17" s="3">
        <v>120</v>
      </c>
      <c r="C17" s="22" t="s">
        <v>22</v>
      </c>
      <c r="D17" s="50">
        <f>(B17*VLOOKUP(C17,RetentionUnits,2)*P13/$P$4)</f>
        <v>8.736285107100711</v>
      </c>
      <c r="E17" s="84" t="s">
        <v>28</v>
      </c>
      <c r="F17" s="34"/>
      <c r="G17" s="71" t="s">
        <v>94</v>
      </c>
      <c r="H17" s="112">
        <f>D20</f>
        <v>14.283132794148781</v>
      </c>
      <c r="I17" s="72" t="s">
        <v>28</v>
      </c>
      <c r="J17" s="103"/>
      <c r="K17" s="66"/>
      <c r="L17" s="16"/>
      <c r="M17" s="67"/>
      <c r="N17" s="8"/>
      <c r="O17" s="100"/>
      <c r="P17" s="101"/>
      <c r="Q17" s="102"/>
      <c r="R17" s="16"/>
      <c r="S17" s="8"/>
    </row>
    <row r="18" spans="1:19" ht="12" customHeight="1" x14ac:dyDescent="0.15">
      <c r="A18" s="74" t="s">
        <v>42</v>
      </c>
      <c r="B18" s="24">
        <v>20</v>
      </c>
      <c r="C18" s="29" t="s">
        <v>41</v>
      </c>
      <c r="D18" s="51">
        <f>((B17*VLOOKUP(C17,RetentionUnits,2))*P14)/P4</f>
        <v>5.5468476870480705</v>
      </c>
      <c r="E18" s="85" t="s">
        <v>28</v>
      </c>
      <c r="F18" s="34"/>
      <c r="G18" s="74" t="s">
        <v>117</v>
      </c>
      <c r="H18" s="49">
        <f>ROUNDUP(H17/J65,0)</f>
        <v>1</v>
      </c>
      <c r="I18" s="75"/>
      <c r="J18" s="103"/>
      <c r="K18" s="66"/>
      <c r="L18" s="16"/>
      <c r="M18" s="67"/>
      <c r="N18" s="8"/>
      <c r="O18" s="196" t="s">
        <v>59</v>
      </c>
      <c r="P18" s="197"/>
      <c r="Q18" s="198"/>
      <c r="R18" s="16"/>
      <c r="S18" s="8"/>
    </row>
    <row r="19" spans="1:19" x14ac:dyDescent="0.15">
      <c r="A19" s="86" t="s">
        <v>40</v>
      </c>
      <c r="B19" s="3">
        <v>0</v>
      </c>
      <c r="C19" s="22" t="s">
        <v>22</v>
      </c>
      <c r="D19" s="50">
        <f>(B19*VLOOKUP(C19,RetentionUnits,2)*(P15)/$P$4)</f>
        <v>0</v>
      </c>
      <c r="E19" s="84" t="s">
        <v>28</v>
      </c>
      <c r="F19" s="34"/>
      <c r="G19" s="108"/>
      <c r="H19" s="109"/>
      <c r="I19" s="110"/>
      <c r="J19" s="103"/>
      <c r="K19" s="66"/>
      <c r="L19" s="16"/>
      <c r="M19" s="67"/>
      <c r="N19" s="8"/>
      <c r="O19" s="199"/>
      <c r="P19" s="200"/>
      <c r="Q19" s="201"/>
      <c r="R19" s="16"/>
      <c r="S19" s="8"/>
    </row>
    <row r="20" spans="1:19" s="2" customFormat="1" x14ac:dyDescent="0.15">
      <c r="A20" s="87" t="s">
        <v>48</v>
      </c>
      <c r="B20" s="52" t="s">
        <v>17</v>
      </c>
      <c r="C20" s="53"/>
      <c r="D20" s="54">
        <f>SUM(D17:D19)</f>
        <v>14.283132794148781</v>
      </c>
      <c r="E20" s="84" t="s">
        <v>28</v>
      </c>
      <c r="F20" s="34"/>
      <c r="G20" s="108"/>
      <c r="H20" s="109"/>
      <c r="I20" s="110"/>
      <c r="J20" s="105"/>
      <c r="K20" s="137"/>
      <c r="L20" s="47"/>
      <c r="M20" s="138"/>
      <c r="N20" s="60"/>
      <c r="O20" s="199"/>
      <c r="P20" s="200"/>
      <c r="Q20" s="201"/>
      <c r="R20" s="47"/>
      <c r="S20" s="60"/>
    </row>
    <row r="21" spans="1:19" ht="12" customHeight="1" thickBot="1" x14ac:dyDescent="0.2">
      <c r="A21" s="66"/>
      <c r="B21" s="16"/>
      <c r="C21" s="16"/>
      <c r="D21" s="16"/>
      <c r="E21" s="67"/>
      <c r="G21" s="76"/>
      <c r="H21" s="16"/>
      <c r="I21" s="67"/>
      <c r="J21" s="103"/>
      <c r="K21" s="66"/>
      <c r="L21" s="16"/>
      <c r="M21" s="67"/>
      <c r="N21" s="8"/>
      <c r="O21" s="202"/>
      <c r="P21" s="203"/>
      <c r="Q21" s="204"/>
      <c r="R21" s="16"/>
      <c r="S21" s="8"/>
    </row>
    <row r="22" spans="1:19" x14ac:dyDescent="0.15">
      <c r="A22" s="66"/>
      <c r="B22" s="16"/>
      <c r="C22" s="16"/>
      <c r="D22" s="16"/>
      <c r="E22" s="67"/>
      <c r="F22" s="16"/>
      <c r="G22" s="77"/>
      <c r="H22" s="16"/>
      <c r="I22" s="67"/>
      <c r="J22" s="103"/>
      <c r="K22" s="66"/>
      <c r="L22" s="16"/>
      <c r="M22" s="67"/>
      <c r="N22" s="8"/>
      <c r="O22" s="66"/>
      <c r="P22" s="16"/>
      <c r="Q22" s="67"/>
      <c r="R22" s="16"/>
      <c r="S22" s="8"/>
    </row>
    <row r="23" spans="1:19" x14ac:dyDescent="0.15">
      <c r="A23" s="66"/>
      <c r="B23" s="16"/>
      <c r="C23" s="16"/>
      <c r="D23" s="16"/>
      <c r="E23" s="67"/>
      <c r="F23" s="16"/>
      <c r="G23" s="77"/>
      <c r="H23" s="16"/>
      <c r="I23" s="67"/>
      <c r="J23" s="103"/>
      <c r="K23" s="66"/>
      <c r="L23" s="16"/>
      <c r="M23" s="67"/>
      <c r="N23" s="8"/>
      <c r="O23" s="66"/>
      <c r="P23" s="16"/>
      <c r="Q23" s="67"/>
      <c r="R23" s="16"/>
      <c r="S23" s="8"/>
    </row>
    <row r="24" spans="1:19" x14ac:dyDescent="0.15">
      <c r="A24" s="128" t="s">
        <v>31</v>
      </c>
      <c r="B24" s="129" t="s">
        <v>32</v>
      </c>
      <c r="C24" s="129"/>
      <c r="D24" s="130"/>
      <c r="E24" s="131"/>
      <c r="F24" s="119"/>
      <c r="G24" s="120" t="s">
        <v>98</v>
      </c>
      <c r="H24" s="121"/>
      <c r="I24" s="122"/>
      <c r="J24" s="123"/>
      <c r="K24" s="128" t="s">
        <v>89</v>
      </c>
      <c r="L24" s="136"/>
      <c r="M24" s="139"/>
      <c r="N24" s="124"/>
      <c r="O24" s="132" t="s">
        <v>50</v>
      </c>
      <c r="P24" s="133" t="s">
        <v>5</v>
      </c>
      <c r="Q24" s="134"/>
      <c r="R24" s="16"/>
      <c r="S24" s="8"/>
    </row>
    <row r="25" spans="1:19" x14ac:dyDescent="0.15">
      <c r="A25" s="66" t="s">
        <v>33</v>
      </c>
      <c r="B25" s="17">
        <v>1000000</v>
      </c>
      <c r="C25" s="6" t="s">
        <v>34</v>
      </c>
      <c r="D25" s="16"/>
      <c r="E25" s="67"/>
      <c r="F25" s="16"/>
      <c r="G25" s="71" t="s">
        <v>137</v>
      </c>
      <c r="H25" s="111">
        <f>B25</f>
        <v>1000000</v>
      </c>
      <c r="I25" s="72" t="s">
        <v>120</v>
      </c>
      <c r="J25" s="103"/>
      <c r="K25" s="73" t="s">
        <v>125</v>
      </c>
      <c r="L25" s="9">
        <f>SUM(P25:P27)</f>
        <v>0.20043225958943367</v>
      </c>
      <c r="M25" s="65" t="s">
        <v>28</v>
      </c>
      <c r="N25" s="8"/>
      <c r="O25" s="64" t="s">
        <v>89</v>
      </c>
      <c r="P25" s="48">
        <f>$P$6*$B$58*$B$25*($P$7 + $B$27*$B$26*2) / (1024^4)</f>
        <v>4.9348454922437668E-2</v>
      </c>
      <c r="Q25" s="63" t="s">
        <v>30</v>
      </c>
      <c r="R25" s="16"/>
      <c r="S25" s="8"/>
    </row>
    <row r="26" spans="1:19" x14ac:dyDescent="0.15">
      <c r="A26" s="66" t="s">
        <v>35</v>
      </c>
      <c r="B26" s="3">
        <v>64</v>
      </c>
      <c r="C26" s="6" t="s">
        <v>2</v>
      </c>
      <c r="D26" s="113" t="s">
        <v>97</v>
      </c>
      <c r="E26" s="83"/>
      <c r="F26" s="16"/>
      <c r="G26" s="73" t="s">
        <v>95</v>
      </c>
      <c r="H26" s="49">
        <f>ROUNDUP(H25/L56,0)</f>
        <v>1</v>
      </c>
      <c r="I26" s="65"/>
      <c r="J26" s="103"/>
      <c r="K26" s="73" t="s">
        <v>126</v>
      </c>
      <c r="L26" s="135">
        <f>J56/L$25*$P$4</f>
        <v>22.900505185154209</v>
      </c>
      <c r="M26" s="65" t="s">
        <v>128</v>
      </c>
      <c r="N26" s="8"/>
      <c r="O26" s="64" t="s">
        <v>44</v>
      </c>
      <c r="P26" s="48">
        <f>($P$28*$B$58*$B$25 ) / (1024^4)</f>
        <v>0.13096723705530167</v>
      </c>
      <c r="Q26" s="63" t="s">
        <v>30</v>
      </c>
      <c r="R26" s="16"/>
      <c r="S26" s="8"/>
    </row>
    <row r="27" spans="1:19" x14ac:dyDescent="0.15">
      <c r="A27" s="74" t="s">
        <v>99</v>
      </c>
      <c r="B27" s="42">
        <v>0.4</v>
      </c>
      <c r="C27" s="28"/>
      <c r="D27" s="113" t="s">
        <v>122</v>
      </c>
      <c r="E27" s="83"/>
      <c r="F27" s="16"/>
      <c r="G27" s="73" t="s">
        <v>96</v>
      </c>
      <c r="H27" s="49">
        <f>ROUNDUP(H25/L58,0)</f>
        <v>1</v>
      </c>
      <c r="I27" s="65"/>
      <c r="J27" s="103"/>
      <c r="K27" s="73" t="s">
        <v>127</v>
      </c>
      <c r="L27" s="135">
        <f>J58/L$25*$P$4</f>
        <v>152.67003456769473</v>
      </c>
      <c r="M27" s="65" t="s">
        <v>128</v>
      </c>
      <c r="N27" s="8"/>
      <c r="O27" s="64" t="s">
        <v>29</v>
      </c>
      <c r="P27" s="48">
        <f>($B$58*$B$27*B25*$B$26*2*$P$5 ) / (1024^4)</f>
        <v>2.0116567611694336E-2</v>
      </c>
      <c r="Q27" s="63" t="s">
        <v>30</v>
      </c>
      <c r="R27" s="16"/>
      <c r="S27" s="8"/>
    </row>
    <row r="28" spans="1:19" ht="13" thickBot="1" x14ac:dyDescent="0.2">
      <c r="A28" s="66"/>
      <c r="B28" s="16"/>
      <c r="C28" s="16"/>
      <c r="D28" s="114" t="s">
        <v>123</v>
      </c>
      <c r="E28" s="67"/>
      <c r="G28" s="73" t="s">
        <v>136</v>
      </c>
      <c r="H28" s="49">
        <f>ROUNDUP(H26/L59,0)</f>
        <v>1</v>
      </c>
      <c r="I28" s="65"/>
      <c r="J28" s="103"/>
      <c r="K28" s="73" t="s">
        <v>130</v>
      </c>
      <c r="L28" s="135">
        <f>J59/L$25*$P$4</f>
        <v>58.777963308562462</v>
      </c>
      <c r="M28" s="65" t="s">
        <v>128</v>
      </c>
      <c r="N28" s="8"/>
      <c r="O28" s="68" t="s">
        <v>88</v>
      </c>
      <c r="P28" s="69">
        <f>(B31*P8)</f>
        <v>100</v>
      </c>
      <c r="Q28" s="70" t="s">
        <v>91</v>
      </c>
      <c r="R28" s="16"/>
      <c r="S28" s="8"/>
    </row>
    <row r="29" spans="1:19" ht="16" x14ac:dyDescent="0.2">
      <c r="A29" s="71" t="s">
        <v>86</v>
      </c>
      <c r="B29" s="4" t="s">
        <v>25</v>
      </c>
      <c r="C29" s="7" t="s">
        <v>26</v>
      </c>
      <c r="D29" s="159" t="s">
        <v>115</v>
      </c>
      <c r="E29" s="160"/>
      <c r="F29" s="33"/>
      <c r="G29" s="71" t="s">
        <v>94</v>
      </c>
      <c r="H29" s="112">
        <f>D33</f>
        <v>20.438654567388927</v>
      </c>
      <c r="I29" s="72" t="s">
        <v>28</v>
      </c>
      <c r="J29" s="103"/>
      <c r="K29" s="66"/>
      <c r="L29" s="16"/>
      <c r="M29" s="67"/>
      <c r="N29" s="8"/>
      <c r="O29" s="16"/>
      <c r="P29" s="16"/>
      <c r="Q29" s="16"/>
      <c r="R29" s="16"/>
      <c r="S29" s="8"/>
    </row>
    <row r="30" spans="1:19" x14ac:dyDescent="0.15">
      <c r="A30" s="73" t="s">
        <v>85</v>
      </c>
      <c r="B30" s="3">
        <v>3</v>
      </c>
      <c r="C30" s="22" t="s">
        <v>51</v>
      </c>
      <c r="D30" s="50">
        <f>(B30*VLOOKUP(C30,RetentionUnits,2)*P25/$P$4)</f>
        <v>5.3993015385725922</v>
      </c>
      <c r="E30" s="84" t="s">
        <v>28</v>
      </c>
      <c r="F30" s="34"/>
      <c r="G30" s="74" t="s">
        <v>117</v>
      </c>
      <c r="H30" s="49">
        <f>ROUNDUP(H29/J65,0)</f>
        <v>1</v>
      </c>
      <c r="I30" s="65"/>
      <c r="J30" s="103"/>
      <c r="K30" s="66"/>
      <c r="L30" s="16"/>
      <c r="M30" s="67"/>
      <c r="N30" s="8"/>
      <c r="O30" s="16"/>
      <c r="P30" s="16"/>
      <c r="Q30" s="16"/>
      <c r="R30" s="16"/>
      <c r="S30" s="8"/>
    </row>
    <row r="31" spans="1:19" x14ac:dyDescent="0.15">
      <c r="A31" s="86" t="s">
        <v>43</v>
      </c>
      <c r="B31" s="24">
        <v>20</v>
      </c>
      <c r="C31" s="25" t="s">
        <v>41</v>
      </c>
      <c r="D31" s="51">
        <f>(B30*VLOOKUP(C30,RetentionUnits,2)*P26) / $P$4</f>
        <v>14.329356524874182</v>
      </c>
      <c r="E31" s="84" t="s">
        <v>28</v>
      </c>
      <c r="F31" s="34"/>
      <c r="G31" s="108"/>
      <c r="H31" s="109"/>
      <c r="I31" s="110"/>
      <c r="J31" s="103"/>
      <c r="K31" s="66"/>
      <c r="L31" s="16"/>
      <c r="M31" s="67"/>
      <c r="N31" s="8"/>
      <c r="O31" s="16"/>
      <c r="P31" s="16"/>
      <c r="Q31" s="16"/>
      <c r="R31" s="16"/>
      <c r="S31" s="8"/>
    </row>
    <row r="32" spans="1:19" x14ac:dyDescent="0.15">
      <c r="A32" s="86" t="s">
        <v>40</v>
      </c>
      <c r="B32" s="3">
        <v>30</v>
      </c>
      <c r="C32" s="22" t="s">
        <v>22</v>
      </c>
      <c r="D32" s="50">
        <f>(B32*VLOOKUP(C32,RetentionUnits,2)*P27/$P$4)</f>
        <v>0.70999650394215308</v>
      </c>
      <c r="E32" s="84" t="s">
        <v>28</v>
      </c>
      <c r="F32" s="34"/>
      <c r="G32" s="66"/>
      <c r="H32" s="16"/>
      <c r="I32" s="67"/>
      <c r="J32" s="103"/>
      <c r="K32" s="66"/>
      <c r="L32" s="16"/>
      <c r="M32" s="67"/>
      <c r="N32" s="8"/>
      <c r="O32" s="16"/>
      <c r="P32" s="16"/>
      <c r="Q32" s="16"/>
      <c r="R32" s="16"/>
      <c r="S32" s="8"/>
    </row>
    <row r="33" spans="1:19" ht="12" customHeight="1" thickBot="1" x14ac:dyDescent="0.2">
      <c r="A33" s="88" t="s">
        <v>47</v>
      </c>
      <c r="B33" s="89" t="s">
        <v>17</v>
      </c>
      <c r="C33" s="90"/>
      <c r="D33" s="91">
        <f>SUM(D30:D32)</f>
        <v>20.438654567388927</v>
      </c>
      <c r="E33" s="92" t="s">
        <v>28</v>
      </c>
      <c r="F33" s="16"/>
      <c r="G33" s="78"/>
      <c r="H33" s="79"/>
      <c r="I33" s="80"/>
      <c r="J33" s="103"/>
      <c r="K33" s="78"/>
      <c r="L33" s="79"/>
      <c r="M33" s="80"/>
      <c r="N33" s="8"/>
      <c r="O33" s="16"/>
      <c r="P33" s="16"/>
      <c r="Q33" s="16"/>
      <c r="R33" s="16"/>
      <c r="S33" s="8"/>
    </row>
    <row r="34" spans="1:19" ht="12" customHeight="1" x14ac:dyDescent="0.15">
      <c r="A34" s="8"/>
      <c r="B34" s="8"/>
      <c r="C34" s="8"/>
      <c r="D34" s="8"/>
      <c r="E34" s="8"/>
      <c r="F34" s="8"/>
      <c r="G34" s="16"/>
      <c r="H34" s="16"/>
      <c r="I34" s="16"/>
      <c r="J34" s="103"/>
      <c r="K34" s="8"/>
      <c r="L34" s="8"/>
      <c r="M34" s="8"/>
      <c r="N34" s="8"/>
      <c r="O34" s="16"/>
      <c r="P34" s="16"/>
      <c r="Q34" s="16"/>
      <c r="R34" s="16"/>
      <c r="S34" s="8"/>
    </row>
    <row r="35" spans="1:19" x14ac:dyDescent="0.15">
      <c r="A35" s="8"/>
      <c r="B35" s="8"/>
      <c r="C35" s="8"/>
      <c r="D35" s="8"/>
      <c r="E35" s="8"/>
      <c r="F35" s="8"/>
      <c r="G35" s="16"/>
      <c r="H35" s="16"/>
      <c r="I35" s="16"/>
      <c r="J35" s="103"/>
      <c r="K35" s="8"/>
      <c r="L35" s="8"/>
      <c r="M35" s="8"/>
      <c r="N35" s="8"/>
      <c r="O35" s="16"/>
      <c r="P35" s="16"/>
      <c r="Q35" s="16"/>
      <c r="R35" s="16"/>
      <c r="S35" s="8"/>
    </row>
    <row r="36" spans="1:19" s="36" customFormat="1" x14ac:dyDescent="0.15">
      <c r="A36" s="35"/>
      <c r="G36" s="46"/>
      <c r="H36" s="46"/>
      <c r="I36" s="46"/>
      <c r="O36" s="46"/>
      <c r="P36" s="46"/>
      <c r="Q36" s="46"/>
      <c r="R36" s="46"/>
    </row>
    <row r="37" spans="1:19" s="38" customFormat="1" x14ac:dyDescent="0.15">
      <c r="A37" s="37"/>
    </row>
    <row r="38" spans="1:19" x14ac:dyDescent="0.15">
      <c r="A38" s="8"/>
      <c r="B38" s="8"/>
      <c r="C38" s="8"/>
      <c r="D38" s="8"/>
      <c r="E38" s="8"/>
      <c r="F38" s="8"/>
      <c r="G38" s="8"/>
      <c r="H38" s="8"/>
      <c r="I38" s="8"/>
      <c r="J38" s="16"/>
      <c r="K38" s="8"/>
      <c r="L38" s="8"/>
      <c r="M38" s="8"/>
      <c r="N38" s="8"/>
      <c r="O38" s="8"/>
      <c r="P38" s="8"/>
      <c r="Q38" s="8"/>
      <c r="R38" s="8"/>
      <c r="S38" s="8"/>
    </row>
    <row r="39" spans="1:19" x14ac:dyDescent="0.15">
      <c r="A39" s="8"/>
      <c r="B39" s="8"/>
      <c r="C39" s="8"/>
      <c r="D39" s="8"/>
      <c r="E39" s="8"/>
      <c r="F39" s="8"/>
      <c r="G39" s="8"/>
      <c r="H39" s="8"/>
      <c r="I39" s="8"/>
      <c r="J39" s="16"/>
      <c r="K39" s="8"/>
      <c r="L39" s="8"/>
      <c r="M39" s="8"/>
      <c r="N39" s="8"/>
      <c r="O39" s="8"/>
      <c r="P39" s="8"/>
      <c r="Q39" s="8"/>
      <c r="R39" s="8"/>
      <c r="S39" s="8"/>
    </row>
    <row r="40" spans="1:19" x14ac:dyDescent="0.15">
      <c r="A40" s="187" t="s">
        <v>52</v>
      </c>
      <c r="B40" s="188"/>
      <c r="C40" s="188"/>
      <c r="D40" s="189"/>
      <c r="E40" s="8"/>
      <c r="F40" s="8"/>
      <c r="G40" s="169" t="s">
        <v>67</v>
      </c>
      <c r="H40" s="170"/>
      <c r="I40" s="170"/>
      <c r="J40" s="170"/>
      <c r="K40" s="170"/>
      <c r="L40" s="171"/>
      <c r="M40" s="143"/>
      <c r="N40" s="8"/>
      <c r="O40" s="167" t="s">
        <v>104</v>
      </c>
      <c r="P40" s="168"/>
      <c r="Q40" s="168"/>
      <c r="R40" s="168"/>
      <c r="S40" s="168"/>
    </row>
    <row r="41" spans="1:19" ht="29" customHeight="1" x14ac:dyDescent="0.15">
      <c r="A41" s="190"/>
      <c r="B41" s="191"/>
      <c r="C41" s="191"/>
      <c r="D41" s="192"/>
      <c r="E41" s="8"/>
      <c r="F41" s="8"/>
      <c r="G41" s="172"/>
      <c r="H41" s="173"/>
      <c r="I41" s="173"/>
      <c r="J41" s="173"/>
      <c r="K41" s="173"/>
      <c r="L41" s="174"/>
      <c r="M41" s="143"/>
      <c r="N41" s="8"/>
      <c r="O41" s="168"/>
      <c r="P41" s="168"/>
      <c r="Q41" s="168"/>
      <c r="R41" s="168"/>
      <c r="S41" s="168"/>
    </row>
    <row r="42" spans="1:19" ht="24" customHeight="1" x14ac:dyDescent="0.15">
      <c r="A42" s="190"/>
      <c r="B42" s="191"/>
      <c r="C42" s="191"/>
      <c r="D42" s="192"/>
      <c r="E42" s="8"/>
      <c r="F42" s="8"/>
      <c r="G42" s="172"/>
      <c r="H42" s="173"/>
      <c r="I42" s="173"/>
      <c r="J42" s="173"/>
      <c r="K42" s="173"/>
      <c r="L42" s="174"/>
      <c r="M42" s="143"/>
      <c r="N42" s="8"/>
      <c r="O42" s="168"/>
      <c r="P42" s="168"/>
      <c r="Q42" s="168"/>
      <c r="R42" s="168"/>
      <c r="S42" s="168"/>
    </row>
    <row r="43" spans="1:19" ht="57" customHeight="1" x14ac:dyDescent="0.15">
      <c r="A43" s="193"/>
      <c r="B43" s="194"/>
      <c r="C43" s="194"/>
      <c r="D43" s="195"/>
      <c r="E43" s="8"/>
      <c r="F43" s="8"/>
      <c r="G43" s="175"/>
      <c r="H43" s="176"/>
      <c r="I43" s="176"/>
      <c r="J43" s="176"/>
      <c r="K43" s="176"/>
      <c r="L43" s="177"/>
      <c r="M43" s="143"/>
      <c r="N43" s="8"/>
      <c r="O43" s="168"/>
      <c r="P43" s="168"/>
      <c r="Q43" s="168"/>
      <c r="R43" s="168"/>
      <c r="S43" s="168"/>
    </row>
    <row r="44" spans="1:19" s="2" customFormat="1" ht="33" x14ac:dyDescent="0.15">
      <c r="A44" s="153" t="s">
        <v>4</v>
      </c>
      <c r="B44" s="153" t="s">
        <v>0</v>
      </c>
      <c r="C44" s="153" t="s">
        <v>65</v>
      </c>
      <c r="D44" s="60"/>
      <c r="E44" s="60"/>
      <c r="F44" s="60"/>
      <c r="G44" s="151" t="s">
        <v>53</v>
      </c>
      <c r="H44" s="151" t="s">
        <v>54</v>
      </c>
      <c r="I44" s="151" t="s">
        <v>92</v>
      </c>
      <c r="J44" s="151" t="s">
        <v>55</v>
      </c>
      <c r="K44" s="152" t="s">
        <v>132</v>
      </c>
      <c r="L44" s="152" t="s">
        <v>133</v>
      </c>
      <c r="M44" s="144"/>
      <c r="N44" s="60"/>
      <c r="O44" s="154" t="s">
        <v>108</v>
      </c>
      <c r="P44" s="154" t="s">
        <v>75</v>
      </c>
      <c r="Q44" s="154" t="s">
        <v>107</v>
      </c>
      <c r="R44" s="154" t="s">
        <v>109</v>
      </c>
      <c r="S44" s="154" t="s">
        <v>110</v>
      </c>
    </row>
    <row r="45" spans="1:19" x14ac:dyDescent="0.15">
      <c r="A45" s="19">
        <v>2500</v>
      </c>
      <c r="B45" s="9">
        <f t="shared" ref="B45:B52" si="0">($B$56*A45*$P$7*$P$6 + $B$56*A45*$B$14*$P$6  + $B$56*A45*$P$16  ) / (1024^4)</f>
        <v>0.35410266718827188</v>
      </c>
      <c r="C45" s="9">
        <f t="shared" ref="C45:C52" si="1">($B$56*A45*$B$14*$P$5 ) / (1024^4)</f>
        <v>0.35066477721557021</v>
      </c>
      <c r="D45" s="8"/>
      <c r="E45" s="8"/>
      <c r="F45" s="8"/>
      <c r="G45" s="157" t="s">
        <v>66</v>
      </c>
      <c r="H45" s="157"/>
      <c r="I45" s="157"/>
      <c r="J45" s="157"/>
      <c r="K45" s="157"/>
      <c r="L45" s="145"/>
      <c r="M45" s="113"/>
      <c r="N45" s="8"/>
      <c r="O45" s="14" t="s">
        <v>105</v>
      </c>
      <c r="P45" s="39">
        <f>B13</f>
        <v>5000</v>
      </c>
      <c r="Q45" s="39">
        <f>P45*60*(B14+P7)</f>
        <v>315000000</v>
      </c>
      <c r="R45" s="39">
        <f>Q45*8/60</f>
        <v>42000000</v>
      </c>
      <c r="S45" s="40">
        <f>R45/(1000*1000)</f>
        <v>42</v>
      </c>
    </row>
    <row r="46" spans="1:19" x14ac:dyDescent="0.15">
      <c r="A46" s="19">
        <v>5000</v>
      </c>
      <c r="B46" s="9">
        <f t="shared" si="0"/>
        <v>0.70820533437654376</v>
      </c>
      <c r="C46" s="9">
        <f t="shared" si="1"/>
        <v>0.70132955443114042</v>
      </c>
      <c r="D46" s="8"/>
      <c r="E46" s="8"/>
      <c r="F46" s="8"/>
      <c r="G46" s="26">
        <v>3105</v>
      </c>
      <c r="H46" s="26">
        <v>6</v>
      </c>
      <c r="I46" s="155">
        <v>0.2</v>
      </c>
      <c r="J46" s="147">
        <f>(H46-H46*I46)</f>
        <v>4.8</v>
      </c>
      <c r="K46" s="148">
        <v>5000</v>
      </c>
      <c r="L46" s="148"/>
      <c r="M46" s="16"/>
      <c r="N46" s="8"/>
      <c r="O46" s="14" t="s">
        <v>106</v>
      </c>
      <c r="P46" s="39">
        <f>B25</f>
        <v>1000000</v>
      </c>
      <c r="Q46" s="39">
        <f>P46*(P7+B26*2)</f>
        <v>328000000</v>
      </c>
      <c r="R46" s="107">
        <f>Q46*8/60</f>
        <v>43733333.333333336</v>
      </c>
      <c r="S46" s="40">
        <f>R46/(1000*1000)</f>
        <v>43.733333333333334</v>
      </c>
    </row>
    <row r="47" spans="1:19" x14ac:dyDescent="0.15">
      <c r="A47" s="19">
        <v>7500</v>
      </c>
      <c r="B47" s="9">
        <f t="shared" si="0"/>
        <v>1.0623080015648156</v>
      </c>
      <c r="C47" s="9">
        <f t="shared" si="1"/>
        <v>1.0519943316467106</v>
      </c>
      <c r="D47" s="8"/>
      <c r="E47" s="8"/>
      <c r="F47" s="8"/>
      <c r="G47" s="26">
        <v>3124</v>
      </c>
      <c r="H47" s="26">
        <v>16</v>
      </c>
      <c r="I47" s="155">
        <v>0.2</v>
      </c>
      <c r="J47" s="147">
        <f>(H47-H47*I47)</f>
        <v>12.8</v>
      </c>
      <c r="K47" s="148">
        <v>5000</v>
      </c>
      <c r="L47" s="148"/>
      <c r="M47" s="16"/>
      <c r="N47" s="8"/>
      <c r="O47" s="14"/>
      <c r="P47" s="14"/>
      <c r="Q47" s="14"/>
      <c r="R47" s="14"/>
      <c r="S47" s="40"/>
    </row>
    <row r="48" spans="1:19" x14ac:dyDescent="0.15">
      <c r="A48" s="19">
        <v>10000</v>
      </c>
      <c r="B48" s="9">
        <f t="shared" si="0"/>
        <v>1.4164106687530875</v>
      </c>
      <c r="C48" s="9">
        <f t="shared" si="1"/>
        <v>1.4026591088622808</v>
      </c>
      <c r="D48" s="8"/>
      <c r="E48" s="8"/>
      <c r="F48" s="8"/>
      <c r="G48" s="26">
        <v>3128</v>
      </c>
      <c r="H48" s="26">
        <v>40</v>
      </c>
      <c r="I48" s="155">
        <v>0.2</v>
      </c>
      <c r="J48" s="147">
        <f>(H48-H48*I48)</f>
        <v>32</v>
      </c>
      <c r="K48" s="148">
        <v>15000</v>
      </c>
      <c r="L48" s="148"/>
      <c r="M48" s="16"/>
      <c r="N48" s="8"/>
      <c r="O48" s="14"/>
      <c r="P48" s="14"/>
      <c r="Q48" s="14"/>
      <c r="R48" s="14"/>
      <c r="S48" s="40"/>
    </row>
    <row r="49" spans="1:19" x14ac:dyDescent="0.15">
      <c r="A49" s="19">
        <v>15000</v>
      </c>
      <c r="B49" s="9">
        <f t="shared" si="0"/>
        <v>2.1246160031296313</v>
      </c>
      <c r="C49" s="9">
        <f t="shared" si="1"/>
        <v>2.1039886632934213</v>
      </c>
      <c r="D49" s="8"/>
      <c r="E49" s="8"/>
      <c r="F49" s="8"/>
      <c r="G49" s="149">
        <v>3148</v>
      </c>
      <c r="H49" s="149">
        <v>15.4</v>
      </c>
      <c r="I49" s="156">
        <v>0.2</v>
      </c>
      <c r="J49" s="147">
        <f>(H49-H49*I49)</f>
        <v>12.32</v>
      </c>
      <c r="K49" s="148">
        <v>30000</v>
      </c>
      <c r="L49" s="148">
        <v>1000000</v>
      </c>
      <c r="M49" s="113"/>
      <c r="N49" s="8"/>
      <c r="O49" s="14"/>
      <c r="P49" s="14"/>
      <c r="Q49" s="14"/>
      <c r="R49" s="14"/>
      <c r="S49" s="40"/>
    </row>
    <row r="50" spans="1:19" x14ac:dyDescent="0.15">
      <c r="A50" s="19">
        <v>20000</v>
      </c>
      <c r="B50" s="9">
        <f t="shared" si="0"/>
        <v>2.832821337506175</v>
      </c>
      <c r="C50" s="9">
        <f t="shared" si="1"/>
        <v>2.8053182177245617</v>
      </c>
      <c r="D50" s="8"/>
      <c r="E50" s="8"/>
      <c r="F50" s="8"/>
      <c r="G50" s="158" t="s">
        <v>68</v>
      </c>
      <c r="H50" s="158"/>
      <c r="I50" s="158"/>
      <c r="J50" s="158"/>
      <c r="K50" s="158"/>
      <c r="L50" s="146"/>
      <c r="M50" s="16"/>
      <c r="N50" s="8"/>
      <c r="O50" s="14"/>
      <c r="P50" s="14"/>
      <c r="Q50" s="14"/>
      <c r="R50" s="14"/>
      <c r="S50" s="40"/>
    </row>
    <row r="51" spans="1:19" x14ac:dyDescent="0.15">
      <c r="A51" s="19">
        <v>30000</v>
      </c>
      <c r="B51" s="9">
        <f t="shared" si="0"/>
        <v>4.2492320062592626</v>
      </c>
      <c r="C51" s="9">
        <f t="shared" si="1"/>
        <v>4.2079773265868425</v>
      </c>
      <c r="D51" s="8"/>
      <c r="E51" s="8"/>
      <c r="F51" s="8"/>
      <c r="G51" s="26">
        <v>1605</v>
      </c>
      <c r="H51" s="26">
        <v>6</v>
      </c>
      <c r="I51" s="155">
        <v>0.1</v>
      </c>
      <c r="J51" s="147">
        <f>(H51-H51*I51)</f>
        <v>5.4</v>
      </c>
      <c r="K51" s="148">
        <v>20000</v>
      </c>
      <c r="L51" s="26" t="s">
        <v>93</v>
      </c>
      <c r="M51" s="16"/>
      <c r="N51" s="8"/>
      <c r="O51" s="8"/>
      <c r="P51" s="8"/>
      <c r="Q51" s="8"/>
      <c r="R51" s="8"/>
      <c r="S51" s="8"/>
    </row>
    <row r="52" spans="1:19" x14ac:dyDescent="0.15">
      <c r="A52" s="20">
        <v>40000</v>
      </c>
      <c r="B52" s="9">
        <f t="shared" si="0"/>
        <v>5.6656426750123501</v>
      </c>
      <c r="C52" s="9">
        <f t="shared" si="1"/>
        <v>5.6106364354491234</v>
      </c>
      <c r="D52" s="8"/>
      <c r="E52" s="8"/>
      <c r="F52" s="8"/>
      <c r="G52" s="26">
        <v>1624</v>
      </c>
      <c r="H52" s="26">
        <v>16</v>
      </c>
      <c r="I52" s="155">
        <v>0.1</v>
      </c>
      <c r="J52" s="147">
        <f>(H52-H52*I52)</f>
        <v>14.4</v>
      </c>
      <c r="K52" s="148">
        <v>40000</v>
      </c>
      <c r="L52" s="26" t="s">
        <v>93</v>
      </c>
      <c r="M52" s="16"/>
      <c r="N52" s="8"/>
      <c r="O52" s="8"/>
      <c r="P52" s="8"/>
      <c r="Q52" s="8"/>
      <c r="R52" s="8"/>
      <c r="S52" s="8"/>
    </row>
    <row r="53" spans="1:19" x14ac:dyDescent="0.15">
      <c r="A53" s="8"/>
      <c r="B53" s="8"/>
      <c r="C53" s="8"/>
      <c r="D53" s="8"/>
      <c r="E53" s="8"/>
      <c r="F53" s="8"/>
      <c r="G53" s="26">
        <v>1628</v>
      </c>
      <c r="H53" s="26">
        <v>40</v>
      </c>
      <c r="I53" s="155">
        <v>0.1</v>
      </c>
      <c r="J53" s="147">
        <f>(H53-H53*I53)</f>
        <v>36</v>
      </c>
      <c r="K53" s="148">
        <v>40000</v>
      </c>
      <c r="L53" s="26" t="s">
        <v>93</v>
      </c>
      <c r="M53" s="113"/>
      <c r="N53" s="8"/>
      <c r="O53" s="8"/>
      <c r="P53" s="8"/>
      <c r="Q53" s="8"/>
      <c r="R53" s="8"/>
      <c r="S53" s="8"/>
    </row>
    <row r="54" spans="1:19" x14ac:dyDescent="0.15">
      <c r="A54" s="8"/>
      <c r="B54" s="8"/>
      <c r="C54" s="8"/>
      <c r="D54" s="8"/>
      <c r="E54" s="8"/>
      <c r="F54" s="8"/>
      <c r="G54" s="26">
        <v>1648</v>
      </c>
      <c r="H54" s="26">
        <v>15.4</v>
      </c>
      <c r="I54" s="155">
        <v>0.1</v>
      </c>
      <c r="J54" s="147">
        <f>(H54-H54*I54)</f>
        <v>13.86</v>
      </c>
      <c r="K54" s="148">
        <v>75000</v>
      </c>
      <c r="L54" s="26" t="s">
        <v>93</v>
      </c>
      <c r="M54" s="16"/>
      <c r="N54" s="8"/>
      <c r="O54" s="8"/>
      <c r="P54" s="8"/>
      <c r="Q54" s="8"/>
      <c r="R54" s="8"/>
      <c r="S54" s="8"/>
    </row>
    <row r="55" spans="1:19" ht="12" customHeight="1" x14ac:dyDescent="0.15">
      <c r="A55" s="11" t="s">
        <v>79</v>
      </c>
      <c r="B55" s="12"/>
      <c r="C55" s="13"/>
      <c r="D55" s="8"/>
      <c r="E55" s="8"/>
      <c r="F55" s="8"/>
      <c r="G55" s="158" t="s">
        <v>69</v>
      </c>
      <c r="H55" s="158"/>
      <c r="I55" s="158"/>
      <c r="J55" s="158"/>
      <c r="K55" s="158"/>
      <c r="L55" s="146"/>
      <c r="M55" s="16"/>
      <c r="N55" s="8"/>
      <c r="O55" s="8"/>
      <c r="P55" s="8"/>
      <c r="Q55" s="8"/>
      <c r="R55" s="8"/>
      <c r="S55" s="8"/>
    </row>
    <row r="56" spans="1:19" ht="12" customHeight="1" x14ac:dyDescent="0.15">
      <c r="A56" s="14" t="s">
        <v>1</v>
      </c>
      <c r="B56" s="14">
        <f>86400*7</f>
        <v>604800</v>
      </c>
      <c r="C56" s="14" t="s">
        <v>3</v>
      </c>
      <c r="D56" s="8"/>
      <c r="E56" s="8"/>
      <c r="F56" s="8"/>
      <c r="G56" s="26">
        <v>1705</v>
      </c>
      <c r="H56" s="26">
        <v>6</v>
      </c>
      <c r="I56" s="155">
        <v>0.1</v>
      </c>
      <c r="J56" s="147">
        <f>(H56-H56*I56)</f>
        <v>5.4</v>
      </c>
      <c r="K56" s="26" t="s">
        <v>93</v>
      </c>
      <c r="L56" s="148">
        <v>1200000</v>
      </c>
      <c r="M56" s="16"/>
      <c r="N56" s="8"/>
      <c r="O56" s="8"/>
      <c r="P56" s="8"/>
      <c r="Q56" s="8"/>
      <c r="R56" s="8"/>
      <c r="S56" s="8"/>
    </row>
    <row r="57" spans="1:19" ht="12" customHeight="1" x14ac:dyDescent="0.15">
      <c r="A57" s="14" t="s">
        <v>19</v>
      </c>
      <c r="B57" s="14">
        <v>86400</v>
      </c>
      <c r="C57" s="14" t="s">
        <v>3</v>
      </c>
      <c r="D57" s="8"/>
      <c r="E57" s="8"/>
      <c r="F57" s="8"/>
      <c r="G57" s="26">
        <v>1724</v>
      </c>
      <c r="H57" s="26">
        <v>16</v>
      </c>
      <c r="I57" s="155">
        <v>0.1</v>
      </c>
      <c r="J57" s="147">
        <f>(H57-H57*I57)</f>
        <v>14.4</v>
      </c>
      <c r="K57" s="26" t="s">
        <v>93</v>
      </c>
      <c r="L57" s="148">
        <v>1200000</v>
      </c>
      <c r="M57" s="113"/>
      <c r="N57" s="8"/>
      <c r="O57" s="8"/>
      <c r="P57" s="8"/>
      <c r="Q57" s="8"/>
      <c r="R57" s="8"/>
      <c r="S57" s="8"/>
    </row>
    <row r="58" spans="1:19" ht="17" customHeight="1" x14ac:dyDescent="0.15">
      <c r="A58" s="14" t="s">
        <v>36</v>
      </c>
      <c r="B58" s="14">
        <v>1440</v>
      </c>
      <c r="C58" s="14" t="s">
        <v>38</v>
      </c>
      <c r="D58" s="8"/>
      <c r="E58" s="8"/>
      <c r="F58" s="8"/>
      <c r="G58" s="26">
        <v>1728</v>
      </c>
      <c r="H58" s="26">
        <v>40</v>
      </c>
      <c r="I58" s="155">
        <v>0.1</v>
      </c>
      <c r="J58" s="147">
        <f>(H58-H58*I58)</f>
        <v>36</v>
      </c>
      <c r="K58" s="26" t="s">
        <v>93</v>
      </c>
      <c r="L58" s="148">
        <v>1200000</v>
      </c>
      <c r="M58" s="16"/>
      <c r="N58" s="8"/>
      <c r="O58" s="8"/>
      <c r="P58" s="8"/>
      <c r="Q58" s="8"/>
      <c r="R58" s="8"/>
      <c r="S58" s="8"/>
    </row>
    <row r="59" spans="1:19" x14ac:dyDescent="0.15">
      <c r="A59" s="16"/>
      <c r="B59" s="16"/>
      <c r="C59" s="16"/>
      <c r="D59" s="16"/>
      <c r="E59" s="8"/>
      <c r="F59" s="8"/>
      <c r="G59" s="26">
        <v>1748</v>
      </c>
      <c r="H59" s="26">
        <v>15.4</v>
      </c>
      <c r="I59" s="155">
        <v>0.1</v>
      </c>
      <c r="J59" s="147">
        <f>(H59-H59*I59)</f>
        <v>13.86</v>
      </c>
      <c r="K59" s="26" t="s">
        <v>93</v>
      </c>
      <c r="L59" s="148">
        <v>3600000</v>
      </c>
      <c r="M59" s="16"/>
      <c r="N59" s="8"/>
      <c r="O59" s="8"/>
      <c r="P59" s="8"/>
      <c r="Q59" s="8"/>
      <c r="R59" s="8"/>
      <c r="S59" s="8"/>
    </row>
    <row r="60" spans="1:19" x14ac:dyDescent="0.15">
      <c r="A60" s="16"/>
      <c r="B60" s="16"/>
      <c r="C60" s="16"/>
      <c r="D60" s="16"/>
      <c r="E60" s="8"/>
      <c r="F60" s="8"/>
      <c r="G60" s="158" t="s">
        <v>70</v>
      </c>
      <c r="H60" s="158"/>
      <c r="I60" s="158"/>
      <c r="J60" s="158"/>
      <c r="K60" s="158"/>
      <c r="L60" s="146"/>
      <c r="M60" s="16"/>
      <c r="N60" s="8"/>
      <c r="O60" s="8"/>
      <c r="P60" s="8"/>
      <c r="Q60" s="8"/>
      <c r="R60" s="8"/>
      <c r="S60" s="8"/>
    </row>
    <row r="61" spans="1:19" x14ac:dyDescent="0.15">
      <c r="A61" s="16"/>
      <c r="B61" s="16"/>
      <c r="C61" s="16"/>
      <c r="D61" s="16"/>
      <c r="E61" s="8"/>
      <c r="F61" s="8"/>
      <c r="G61" s="26">
        <v>1805</v>
      </c>
      <c r="H61" s="26">
        <v>6</v>
      </c>
      <c r="I61" s="155">
        <v>0.1</v>
      </c>
      <c r="J61" s="147">
        <f>(H61-H61*I61)</f>
        <v>5.4</v>
      </c>
      <c r="K61" s="148"/>
      <c r="L61" s="150"/>
      <c r="M61" s="113"/>
      <c r="N61" s="8"/>
      <c r="O61" s="8"/>
      <c r="P61" s="8"/>
      <c r="Q61" s="8"/>
      <c r="R61" s="8"/>
      <c r="S61" s="8"/>
    </row>
    <row r="62" spans="1:19" x14ac:dyDescent="0.15">
      <c r="A62" s="16"/>
      <c r="B62" s="16"/>
      <c r="C62" s="16"/>
      <c r="D62" s="16"/>
      <c r="E62" s="8"/>
      <c r="F62" s="8"/>
      <c r="G62" s="26">
        <v>1824</v>
      </c>
      <c r="H62" s="26">
        <v>16</v>
      </c>
      <c r="I62" s="155">
        <v>0.1</v>
      </c>
      <c r="J62" s="147">
        <f>(H62-H62*I62)</f>
        <v>14.4</v>
      </c>
      <c r="K62" s="148"/>
      <c r="L62" s="148"/>
      <c r="M62" s="16"/>
      <c r="N62" s="8"/>
      <c r="O62" s="8"/>
      <c r="P62" s="8"/>
      <c r="Q62" s="8"/>
      <c r="R62" s="8"/>
      <c r="S62" s="8"/>
    </row>
    <row r="63" spans="1:19" x14ac:dyDescent="0.15">
      <c r="A63" s="61"/>
      <c r="B63" s="61"/>
      <c r="C63" s="61"/>
      <c r="D63" s="16"/>
      <c r="E63" s="8"/>
      <c r="F63" s="8"/>
      <c r="G63" s="26">
        <v>1828</v>
      </c>
      <c r="H63" s="26">
        <v>40</v>
      </c>
      <c r="I63" s="155">
        <v>0.1</v>
      </c>
      <c r="J63" s="147">
        <f>(H63-H63*I63)</f>
        <v>36</v>
      </c>
      <c r="K63" s="148"/>
      <c r="L63" s="148"/>
      <c r="M63" s="16"/>
      <c r="O63" s="8"/>
      <c r="P63" s="8"/>
      <c r="Q63" s="8"/>
      <c r="R63" s="8"/>
      <c r="S63" s="8"/>
    </row>
    <row r="64" spans="1:19" x14ac:dyDescent="0.15">
      <c r="A64" s="16"/>
      <c r="B64" s="16"/>
      <c r="C64" s="16"/>
      <c r="D64" s="16"/>
      <c r="E64" s="8"/>
      <c r="F64" s="8"/>
      <c r="G64" s="4" t="s">
        <v>71</v>
      </c>
      <c r="H64" s="4"/>
      <c r="I64" s="4"/>
      <c r="J64" s="4"/>
      <c r="K64" s="4"/>
      <c r="L64" s="146"/>
      <c r="M64" s="8"/>
      <c r="N64" s="8"/>
      <c r="O64" s="8"/>
      <c r="P64" s="8"/>
      <c r="Q64" s="8"/>
      <c r="R64" s="8"/>
      <c r="S64" s="8"/>
    </row>
    <row r="65" spans="1:19" x14ac:dyDescent="0.15">
      <c r="A65" s="16"/>
      <c r="B65" s="16"/>
      <c r="C65" s="16"/>
      <c r="D65" s="16"/>
      <c r="E65" s="8"/>
      <c r="F65" s="8"/>
      <c r="G65" s="26">
        <v>1428</v>
      </c>
      <c r="H65" s="26">
        <v>40</v>
      </c>
      <c r="I65" s="155">
        <v>5.0000000000000001E-3</v>
      </c>
      <c r="J65" s="147">
        <f>(H65-H65*I65)</f>
        <v>39.799999999999997</v>
      </c>
      <c r="K65" s="148" t="s">
        <v>93</v>
      </c>
      <c r="L65" s="148" t="s">
        <v>93</v>
      </c>
      <c r="M65" s="8"/>
      <c r="N65" s="8"/>
      <c r="O65" s="8"/>
      <c r="P65" s="8"/>
      <c r="Q65" s="8"/>
      <c r="R65" s="8"/>
      <c r="S65" s="8"/>
    </row>
    <row r="66" spans="1:19" x14ac:dyDescent="0.15">
      <c r="A66" s="16"/>
      <c r="B66" s="16"/>
      <c r="C66" s="16"/>
      <c r="D66" s="16"/>
      <c r="E66" s="8"/>
      <c r="F66" s="8"/>
      <c r="G66" s="26"/>
      <c r="H66" s="26"/>
      <c r="I66" s="155"/>
      <c r="J66" s="147"/>
      <c r="K66" s="148" t="s">
        <v>93</v>
      </c>
      <c r="L66" s="148" t="s">
        <v>93</v>
      </c>
      <c r="M66" s="8"/>
      <c r="N66" s="8"/>
      <c r="O66" s="8"/>
      <c r="P66" s="8"/>
      <c r="Q66" s="8"/>
      <c r="R66" s="8"/>
      <c r="S66" s="8"/>
    </row>
    <row r="67" spans="1:19" x14ac:dyDescent="0.15">
      <c r="A67" s="16"/>
      <c r="B67" s="16"/>
      <c r="C67" s="16"/>
      <c r="D67" s="16"/>
      <c r="E67" s="8"/>
      <c r="F67" s="8"/>
      <c r="G67" s="8"/>
      <c r="H67" s="8"/>
      <c r="I67" s="8"/>
      <c r="J67" s="16"/>
      <c r="K67" s="8"/>
      <c r="L67" s="8"/>
      <c r="M67" s="8"/>
      <c r="N67" s="8"/>
      <c r="O67" s="8"/>
      <c r="P67" s="8"/>
      <c r="Q67" s="8"/>
      <c r="R67" s="8"/>
      <c r="S67" s="8"/>
    </row>
    <row r="68" spans="1:19" x14ac:dyDescent="0.15">
      <c r="A68" s="16"/>
      <c r="B68" s="16"/>
      <c r="C68" s="16"/>
      <c r="D68" s="16"/>
      <c r="E68" s="8"/>
      <c r="F68" s="8"/>
      <c r="G68" s="8"/>
      <c r="H68" s="8"/>
      <c r="I68" s="8"/>
      <c r="J68" s="16"/>
      <c r="K68" s="8"/>
      <c r="L68" s="8"/>
      <c r="M68" s="8"/>
      <c r="N68" s="8"/>
      <c r="O68" s="8"/>
      <c r="P68" s="8"/>
      <c r="Q68" s="8"/>
      <c r="R68" s="8"/>
      <c r="S68" s="8"/>
    </row>
    <row r="69" spans="1:19" x14ac:dyDescent="0.15">
      <c r="A69" s="16"/>
      <c r="B69" s="16"/>
      <c r="C69" s="16"/>
      <c r="D69" s="16"/>
      <c r="E69" s="8"/>
      <c r="F69" s="8"/>
      <c r="G69" s="8"/>
      <c r="H69" s="8"/>
      <c r="I69" s="8"/>
      <c r="J69" s="16"/>
      <c r="K69" s="8"/>
      <c r="L69" s="8"/>
      <c r="M69" s="8"/>
      <c r="N69" s="8"/>
      <c r="O69" s="8"/>
      <c r="P69" s="8"/>
      <c r="Q69" s="8"/>
      <c r="R69" s="8"/>
      <c r="S69" s="8"/>
    </row>
    <row r="70" spans="1:19" x14ac:dyDescent="0.15">
      <c r="A70" s="8"/>
      <c r="B70" s="8"/>
      <c r="C70" s="8"/>
      <c r="D70" s="8"/>
      <c r="E70" s="8"/>
      <c r="F70" s="8"/>
      <c r="G70" s="8"/>
      <c r="H70" s="8"/>
      <c r="I70" s="8"/>
      <c r="J70" s="16"/>
      <c r="K70" s="8"/>
      <c r="L70" s="8"/>
      <c r="M70" s="8"/>
      <c r="N70" s="8"/>
      <c r="O70" s="8"/>
      <c r="P70" s="8"/>
      <c r="Q70" s="8"/>
      <c r="R70" s="8"/>
      <c r="S70" s="8"/>
    </row>
  </sheetData>
  <mergeCells count="14">
    <mergeCell ref="A2:I2"/>
    <mergeCell ref="O2:Q2"/>
    <mergeCell ref="O40:S43"/>
    <mergeCell ref="G40:L43"/>
    <mergeCell ref="A7:E10"/>
    <mergeCell ref="A40:D43"/>
    <mergeCell ref="O18:Q21"/>
    <mergeCell ref="D16:E16"/>
    <mergeCell ref="G7:M11"/>
    <mergeCell ref="G45:K45"/>
    <mergeCell ref="G50:K50"/>
    <mergeCell ref="G55:K55"/>
    <mergeCell ref="G60:K60"/>
    <mergeCell ref="D29:E29"/>
  </mergeCells>
  <pageMargins left="0.75" right="0.75" top="1" bottom="1" header="0.5" footer="0.5"/>
  <pageSetup orientation="portrait" horizontalDpi="4294967292" verticalDpi="4294967292"/>
  <legacyDrawing r:id="rId1"/>
  <extLst>
    <ext xmlns:x14="http://schemas.microsoft.com/office/spreadsheetml/2009/9/main" uri="{CCE6A557-97BC-4b89-ADB6-D9C93CAAB3DF}">
      <x14:dataValidations xmlns:xm="http://schemas.microsoft.com/office/excel/2006/main" count="1">
        <x14:dataValidation type="list" showInputMessage="1" showErrorMessage="1">
          <x14:formula1>
            <xm:f>DropdownOptions!$A$4:$A$9</xm:f>
          </x14:formula1>
          <xm:sqref>C32 C19 C17 C30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Ruler="0" workbookViewId="0">
      <selection activeCell="B2" sqref="B2"/>
    </sheetView>
  </sheetViews>
  <sheetFormatPr baseColWidth="10" defaultRowHeight="14" x14ac:dyDescent="0.2"/>
  <cols>
    <col min="1" max="1" width="15.33203125" style="5" bestFit="1" customWidth="1"/>
    <col min="2" max="2" width="6.1640625" style="5" bestFit="1" customWidth="1"/>
    <col min="3" max="16384" width="10.83203125" style="5"/>
  </cols>
  <sheetData>
    <row r="1" spans="1:5" x14ac:dyDescent="0.2">
      <c r="A1" s="5" t="s">
        <v>20</v>
      </c>
      <c r="B1" s="5" t="s">
        <v>62</v>
      </c>
    </row>
    <row r="3" spans="1:5" x14ac:dyDescent="0.2">
      <c r="A3" s="5" t="s">
        <v>24</v>
      </c>
      <c r="C3" s="5" t="s">
        <v>21</v>
      </c>
    </row>
    <row r="4" spans="1:5" x14ac:dyDescent="0.2">
      <c r="A4" s="32" t="s">
        <v>22</v>
      </c>
      <c r="B4" s="32">
        <v>1</v>
      </c>
    </row>
    <row r="5" spans="1:5" x14ac:dyDescent="0.2">
      <c r="A5" s="32" t="s">
        <v>58</v>
      </c>
      <c r="B5" s="32">
        <f>(1/24)</f>
        <v>4.1666666666666664E-2</v>
      </c>
    </row>
    <row r="6" spans="1:5" x14ac:dyDescent="0.2">
      <c r="A6" s="32" t="s">
        <v>51</v>
      </c>
      <c r="B6" s="32">
        <v>31</v>
      </c>
    </row>
    <row r="7" spans="1:5" x14ac:dyDescent="0.2">
      <c r="A7" s="32" t="s">
        <v>57</v>
      </c>
      <c r="B7" s="32">
        <v>91.25</v>
      </c>
    </row>
    <row r="8" spans="1:5" x14ac:dyDescent="0.2">
      <c r="A8" s="32" t="s">
        <v>23</v>
      </c>
      <c r="B8" s="32">
        <v>7</v>
      </c>
    </row>
    <row r="9" spans="1:5" x14ac:dyDescent="0.2">
      <c r="A9" s="32" t="s">
        <v>56</v>
      </c>
      <c r="B9" s="32">
        <v>365</v>
      </c>
      <c r="E9" s="31"/>
    </row>
  </sheetData>
  <sortState ref="A4:B9">
    <sortCondition ref="A4"/>
  </sortState>
  <pageMargins left="0.75" right="0.75" top="1" bottom="1" header="0.5" footer="0.5"/>
  <pageSetup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showRuler="0" topLeftCell="A3" workbookViewId="0">
      <selection activeCell="A20" sqref="A20"/>
    </sheetView>
  </sheetViews>
  <sheetFormatPr baseColWidth="10" defaultRowHeight="14" x14ac:dyDescent="0.2"/>
  <cols>
    <col min="1" max="1" width="10.83203125" style="55"/>
    <col min="2" max="2" width="10.1640625" style="55" bestFit="1" customWidth="1"/>
    <col min="3" max="3" width="10.83203125" style="55"/>
    <col min="4" max="4" width="97" style="56" customWidth="1"/>
    <col min="5" max="16384" width="10.83203125" style="55"/>
  </cols>
  <sheetData>
    <row r="1" spans="1:15" x14ac:dyDescent="0.2">
      <c r="B1" s="55" t="s">
        <v>6</v>
      </c>
    </row>
    <row r="3" spans="1:15" x14ac:dyDescent="0.2">
      <c r="A3" s="57" t="s">
        <v>12</v>
      </c>
      <c r="B3" s="57" t="s">
        <v>7</v>
      </c>
      <c r="C3" s="57" t="s">
        <v>8</v>
      </c>
      <c r="D3" s="58" t="s">
        <v>9</v>
      </c>
      <c r="E3" s="57"/>
      <c r="F3" s="57"/>
      <c r="G3" s="57"/>
      <c r="H3" s="57"/>
      <c r="I3" s="57"/>
      <c r="J3" s="57"/>
      <c r="K3" s="57"/>
      <c r="L3" s="57"/>
      <c r="M3" s="57"/>
      <c r="N3" s="57"/>
      <c r="O3" s="57"/>
    </row>
    <row r="4" spans="1:15" x14ac:dyDescent="0.2">
      <c r="A4" s="55" t="s">
        <v>13</v>
      </c>
      <c r="C4" s="55" t="s">
        <v>10</v>
      </c>
      <c r="D4" s="56" t="s">
        <v>14</v>
      </c>
    </row>
    <row r="5" spans="1:15" ht="28" x14ac:dyDescent="0.2">
      <c r="A5" s="55">
        <v>2015.1</v>
      </c>
      <c r="B5" s="59">
        <v>42167</v>
      </c>
      <c r="C5" s="55" t="s">
        <v>10</v>
      </c>
      <c r="D5" s="56" t="s">
        <v>11</v>
      </c>
    </row>
    <row r="6" spans="1:15" ht="28" x14ac:dyDescent="0.2">
      <c r="A6" s="55">
        <v>2015.2</v>
      </c>
      <c r="B6" s="59">
        <v>42241</v>
      </c>
      <c r="C6" s="55" t="s">
        <v>10</v>
      </c>
      <c r="D6" s="56" t="s">
        <v>18</v>
      </c>
    </row>
    <row r="7" spans="1:15" ht="28" x14ac:dyDescent="0.2">
      <c r="A7" s="55">
        <v>2015.3</v>
      </c>
      <c r="B7" s="59">
        <v>42243</v>
      </c>
      <c r="C7" s="55" t="s">
        <v>10</v>
      </c>
      <c r="D7" s="56" t="s">
        <v>46</v>
      </c>
    </row>
    <row r="8" spans="1:15" ht="28" x14ac:dyDescent="0.2">
      <c r="A8" s="55">
        <v>2015.4</v>
      </c>
      <c r="B8" s="59">
        <v>42248</v>
      </c>
      <c r="C8" s="55" t="s">
        <v>10</v>
      </c>
      <c r="D8" s="56" t="s">
        <v>61</v>
      </c>
    </row>
    <row r="10" spans="1:15" ht="28" x14ac:dyDescent="0.2">
      <c r="A10" s="55">
        <v>2016.1</v>
      </c>
      <c r="B10" s="59">
        <v>42426</v>
      </c>
      <c r="C10" s="55" t="s">
        <v>10</v>
      </c>
      <c r="D10" s="56" t="s">
        <v>63</v>
      </c>
    </row>
    <row r="11" spans="1:15" x14ac:dyDescent="0.2">
      <c r="A11" s="55">
        <v>2016.2</v>
      </c>
      <c r="B11" s="59">
        <v>42444</v>
      </c>
      <c r="C11" s="55" t="s">
        <v>10</v>
      </c>
      <c r="D11" s="56" t="s">
        <v>64</v>
      </c>
    </row>
    <row r="12" spans="1:15" x14ac:dyDescent="0.2">
      <c r="A12" s="55" t="s">
        <v>72</v>
      </c>
      <c r="B12" s="59">
        <v>42445</v>
      </c>
      <c r="C12" s="55" t="s">
        <v>10</v>
      </c>
      <c r="D12" s="56" t="s">
        <v>73</v>
      </c>
    </row>
    <row r="13" spans="1:15" ht="42" x14ac:dyDescent="0.2">
      <c r="A13" s="55">
        <v>2016.5</v>
      </c>
      <c r="B13" s="59">
        <v>42466</v>
      </c>
      <c r="C13" s="55" t="s">
        <v>10</v>
      </c>
      <c r="D13" s="56" t="s">
        <v>74</v>
      </c>
    </row>
    <row r="14" spans="1:15" ht="56" x14ac:dyDescent="0.2">
      <c r="A14" s="55">
        <v>2016.6</v>
      </c>
      <c r="B14" s="59">
        <v>42495</v>
      </c>
      <c r="C14" s="55" t="s">
        <v>10</v>
      </c>
      <c r="D14" s="56" t="s">
        <v>76</v>
      </c>
    </row>
    <row r="15" spans="1:15" x14ac:dyDescent="0.2">
      <c r="A15" s="55">
        <v>2016.7</v>
      </c>
      <c r="B15" s="59">
        <v>42503</v>
      </c>
      <c r="C15" s="55" t="s">
        <v>10</v>
      </c>
      <c r="D15" s="56" t="s">
        <v>101</v>
      </c>
    </row>
    <row r="16" spans="1:15" x14ac:dyDescent="0.2">
      <c r="A16" s="55">
        <v>2016.7</v>
      </c>
      <c r="B16" s="59">
        <v>42509</v>
      </c>
      <c r="C16" s="55" t="s">
        <v>10</v>
      </c>
      <c r="D16" s="56" t="s">
        <v>102</v>
      </c>
    </row>
    <row r="17" spans="1:4" x14ac:dyDescent="0.2">
      <c r="A17" s="55">
        <v>2016.8</v>
      </c>
      <c r="B17" s="59">
        <v>42558</v>
      </c>
      <c r="C17" s="55" t="s">
        <v>10</v>
      </c>
      <c r="D17" s="56" t="s">
        <v>111</v>
      </c>
    </row>
    <row r="18" spans="1:4" x14ac:dyDescent="0.2">
      <c r="A18" s="55" t="s">
        <v>112</v>
      </c>
      <c r="B18" s="59">
        <v>42585</v>
      </c>
      <c r="C18" s="55" t="s">
        <v>10</v>
      </c>
      <c r="D18" s="56" t="s">
        <v>113</v>
      </c>
    </row>
    <row r="19" spans="1:4" x14ac:dyDescent="0.2">
      <c r="A19" s="55">
        <v>2016.9</v>
      </c>
      <c r="B19" s="59">
        <v>42656</v>
      </c>
      <c r="C19" s="55" t="s">
        <v>10</v>
      </c>
      <c r="D19" s="56" t="s">
        <v>114</v>
      </c>
    </row>
    <row r="20" spans="1:4" x14ac:dyDescent="0.2">
      <c r="A20" s="55" t="s">
        <v>134</v>
      </c>
      <c r="B20" s="59">
        <v>42697</v>
      </c>
      <c r="C20" s="55" t="s">
        <v>10</v>
      </c>
      <c r="D20" s="56" t="s">
        <v>129</v>
      </c>
    </row>
  </sheetData>
  <pageMargins left="0.75" right="0.75" top="1" bottom="1" header="0.5" footer="0.5"/>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Disk Usage Calculator</vt:lpstr>
      <vt:lpstr>DropdownOptions</vt:lpstr>
      <vt:lpstr>changelog</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Dwight Spencer</dc:creator>
  <cp:lastModifiedBy>Microsoft Office User</cp:lastModifiedBy>
  <dcterms:created xsi:type="dcterms:W3CDTF">2015-06-12T18:24:54Z</dcterms:created>
  <dcterms:modified xsi:type="dcterms:W3CDTF">2017-08-22T14:59:45Z</dcterms:modified>
</cp:coreProperties>
</file>