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810" windowHeight="6945" tabRatio="841" activeTab="0"/>
  </bookViews>
  <sheets>
    <sheet name="ReadMe" sheetId="1" r:id="rId1"/>
    <sheet name="MongoDB&amp;DatamartDB" sheetId="2" r:id="rId2"/>
    <sheet name="PrefetchDBSummary" sheetId="3" r:id="rId3"/>
    <sheet name="PrefetchDBDetails" sheetId="4" r:id="rId4"/>
    <sheet name="InsertsByAgentType" sheetId="5" r:id="rId5"/>
    <sheet name="DiskSpaceByAgentType" sheetId="6" r:id="rId6"/>
  </sheets>
  <definedNames>
    <definedName name="NtwkOvhdPerHB">'PrefetchDBSummary'!$AC$6</definedName>
    <definedName name="NtwkOvhdPerUpload">'PrefetchDBSummary'!$AC$7</definedName>
    <definedName name="_xlnm.Print_Area" localSheetId="2">'PrefetchDBSummary'!$B$11:$B$74</definedName>
  </definedNames>
  <calcPr fullCalcOnLoad="1"/>
</workbook>
</file>

<file path=xl/sharedStrings.xml><?xml version="1.0" encoding="utf-8"?>
<sst xmlns="http://schemas.openxmlformats.org/spreadsheetml/2006/main" count="4952" uniqueCount="2251">
  <si>
    <t>Application Server</t>
  </si>
  <si>
    <t>Application Server Status</t>
  </si>
  <si>
    <t>Container Object Pools</t>
  </si>
  <si>
    <t>Container Transactions</t>
  </si>
  <si>
    <t>DB Connection Pools</t>
  </si>
  <si>
    <t>EJB Containers</t>
  </si>
  <si>
    <t>Enterprise Java Beans</t>
  </si>
  <si>
    <t>KRZ_RDB_ACTIVE_INSTANCE</t>
  </si>
  <si>
    <t>KRZACTINS</t>
  </si>
  <si>
    <t>KRZ_RDB_INSTANCES_ACTIVE_RATIO</t>
  </si>
  <si>
    <t>KRZACTINSR</t>
  </si>
  <si>
    <t>KRZ_RDB_BUFFER_CACHE_RATIO</t>
  </si>
  <si>
    <t>KRZBUFCART</t>
  </si>
  <si>
    <t>KRZ_RDB_TABLES</t>
  </si>
  <si>
    <t>KRZDBTABLS</t>
  </si>
  <si>
    <t>KSE_AGENT_CONFIG</t>
  </si>
  <si>
    <t>KSEAGNTCFG</t>
  </si>
  <si>
    <t>KSE_SCHEMATA</t>
  </si>
  <si>
    <t>KSESCHEMA0</t>
  </si>
  <si>
    <t>KSE_GLOBAL_STATUS</t>
  </si>
  <si>
    <t>KSEGLOBAL2</t>
  </si>
  <si>
    <t>KSE_STATUS</t>
  </si>
  <si>
    <t>KSESTATUS</t>
  </si>
  <si>
    <t>Linux_Machine_Information</t>
  </si>
  <si>
    <t>LNXMACHIN</t>
  </si>
  <si>
    <t>KNJ_HTTPREQ</t>
  </si>
  <si>
    <t>KNJHTTPREQ</t>
  </si>
  <si>
    <t>KNJ_APPINFO</t>
  </si>
  <si>
    <t>KNJAPPINFO</t>
  </si>
  <si>
    <t>KQE_NET_CLR_EXCEPTIONS</t>
  </si>
  <si>
    <t>KQENETCLRE</t>
  </si>
  <si>
    <t>KQE_NET_CLR_MEMORY</t>
  </si>
  <si>
    <t>KQENETCLRM</t>
  </si>
  <si>
    <t>KQE_SERVICE_MODEL_SERVICE_FILTER</t>
  </si>
  <si>
    <t>KQESERMSER</t>
  </si>
  <si>
    <t>KQE_ASP_NET_APPS_FILTER</t>
  </si>
  <si>
    <t>KQEASPNETF</t>
  </si>
  <si>
    <t>KQE_NET_PROCESS</t>
  </si>
  <si>
    <t>KQENETPROC</t>
  </si>
  <si>
    <t>KOT_GARBAGECOLLECTOR</t>
  </si>
  <si>
    <t>KOTGARBAGE</t>
  </si>
  <si>
    <t>KOT_MEMORY</t>
  </si>
  <si>
    <t>KOTMEMORY</t>
  </si>
  <si>
    <t>KOT_REQUESTPROCESSOR</t>
  </si>
  <si>
    <t>KOTREQUEST</t>
  </si>
  <si>
    <t>KOT_RUNTIME</t>
  </si>
  <si>
    <t>KOTRUNTIME</t>
  </si>
  <si>
    <t>KOT_THREADPOOL</t>
  </si>
  <si>
    <t>KOTTHREADP</t>
  </si>
  <si>
    <t>KOT_SERVLET</t>
  </si>
  <si>
    <t>KOTSERVLET</t>
  </si>
  <si>
    <t>KOT_J2EEAPPLICATION</t>
  </si>
  <si>
    <t>KOTJ2EEAPP</t>
  </si>
  <si>
    <t>KOT_SERVER</t>
  </si>
  <si>
    <t>KOTSERVER</t>
  </si>
  <si>
    <t>KOT_OPERATINGSYSTEM</t>
  </si>
  <si>
    <t>KOTOPERATI</t>
  </si>
  <si>
    <t>KOT_STRINGCACHE</t>
  </si>
  <si>
    <t>KOTSTRINGC</t>
  </si>
  <si>
    <t>KOT_OPERATINGSYSTEM_RUNTIME</t>
  </si>
  <si>
    <t>KOTOPERAT0</t>
  </si>
  <si>
    <t>KOT_GARBAGECOLLECTOR_RUNTIME</t>
  </si>
  <si>
    <t>KOTGARBAG0</t>
  </si>
  <si>
    <t>KOT_J2EEAPPLICATION_RUNTIME</t>
  </si>
  <si>
    <t>KOTJ2EEAP0</t>
  </si>
  <si>
    <t>KOT_SESSIONMGR</t>
  </si>
  <si>
    <t>KOTSESSMGR</t>
  </si>
  <si>
    <t>Tomcat</t>
  </si>
  <si>
    <t>KLZ_Disk_IO</t>
  </si>
  <si>
    <t>KLZDSKIO</t>
  </si>
  <si>
    <t>Linux_IP_Address</t>
  </si>
  <si>
    <t>LNXIPADDR</t>
  </si>
  <si>
    <t>MS_Exchange_Active_Sync</t>
  </si>
  <si>
    <t>MSEASYNC</t>
  </si>
  <si>
    <t>LNXOSCON</t>
  </si>
  <si>
    <t>Disk</t>
  </si>
  <si>
    <t>UNIXDISK</t>
  </si>
  <si>
    <t>Disk_Performance</t>
  </si>
  <si>
    <t>UNIXDPERF</t>
  </si>
  <si>
    <t>SMP_CPU</t>
  </si>
  <si>
    <t>UNIXCPU</t>
  </si>
  <si>
    <t>System</t>
  </si>
  <si>
    <t>Process</t>
  </si>
  <si>
    <t>Agent type</t>
  </si>
  <si>
    <t>WTSYSTEM</t>
  </si>
  <si>
    <t>NT_System</t>
  </si>
  <si>
    <t>WTLOGCLDSK</t>
  </si>
  <si>
    <t>NT_Logical_Disk</t>
  </si>
  <si>
    <t>WTPHYSDSK</t>
  </si>
  <si>
    <t>NT_Physical_Disk</t>
  </si>
  <si>
    <t>NTPROCSSR</t>
  </si>
  <si>
    <t>NT_Processor</t>
  </si>
  <si>
    <t>LDAP</t>
  </si>
  <si>
    <t>Trust</t>
  </si>
  <si>
    <t>K3ZNTDSTRS</t>
  </si>
  <si>
    <t>KOQMEMGR</t>
  </si>
  <si>
    <t>KYNREQUEST</t>
  </si>
  <si>
    <t>KYNSERVLT</t>
  </si>
  <si>
    <t>NT_Computer_Information</t>
  </si>
  <si>
    <t>KQ7_IIS_APPLICATION_POOLS_DETAILS</t>
  </si>
  <si>
    <t>KQ7APPPOOL</t>
  </si>
  <si>
    <t>PHP</t>
  </si>
  <si>
    <t>PostgreSQL</t>
  </si>
  <si>
    <t>KPJ_WORDPRESS_SUMMARY_INFO</t>
  </si>
  <si>
    <t>KPJWPINFO</t>
  </si>
  <si>
    <t>KPJ_WORDPRESS_LIST</t>
  </si>
  <si>
    <t>KPJWPLIST</t>
  </si>
  <si>
    <t>KPJ_FRAMEWORK_DETAIL</t>
  </si>
  <si>
    <t>KPJFDETAIL</t>
  </si>
  <si>
    <t>KPJ_WEB_SERVER_INFO</t>
  </si>
  <si>
    <t>KPJWEBINFO</t>
  </si>
  <si>
    <t>KPJ_WEB_SERVER_METRICS</t>
  </si>
  <si>
    <t>KPJWEBKV</t>
  </si>
  <si>
    <t>KPJ_SERVER_INFO</t>
  </si>
  <si>
    <t>KPJSVRINFO</t>
  </si>
  <si>
    <t>KPN_DB_BUFF_HIT_RATE</t>
  </si>
  <si>
    <t>KPNDBBUFFH</t>
  </si>
  <si>
    <t>KPN_CONNECTION_NUM</t>
  </si>
  <si>
    <t>KPNCONNSUM</t>
  </si>
  <si>
    <t>KPN_LOCK_DETAIL</t>
  </si>
  <si>
    <t>KPNLOCKDET</t>
  </si>
  <si>
    <t>KPN_DB_MEMORY</t>
  </si>
  <si>
    <t>KPNDBMEM</t>
  </si>
  <si>
    <t>KPN_DB_CPU</t>
  </si>
  <si>
    <t>KPNDBCPU</t>
  </si>
  <si>
    <t>KPN_DATABASE_QUERY_COUNTS</t>
  </si>
  <si>
    <t>KPNDATABAS</t>
  </si>
  <si>
    <t>KPN_SQL_STATEMENT_PERF</t>
  </si>
  <si>
    <t>KPNSQLPERF</t>
  </si>
  <si>
    <t>KPN_SQL_RESPONSE_TIME</t>
  </si>
  <si>
    <t>KPNSQLRESP</t>
  </si>
  <si>
    <t>KPN_DB_NUM</t>
  </si>
  <si>
    <t>KPNDBNUM</t>
  </si>
  <si>
    <t>KPN_DB_SIZE</t>
  </si>
  <si>
    <t>KPNDBSIZE</t>
  </si>
  <si>
    <t>R/3_Alerts</t>
  </si>
  <si>
    <t>R/3_ABAP_Dumps</t>
  </si>
  <si>
    <t>Domain_Controller_Availability</t>
  </si>
  <si>
    <t>Domain_Controller_Performance</t>
  </si>
  <si>
    <t>Error Log</t>
  </si>
  <si>
    <t>Channel Data</t>
  </si>
  <si>
    <t>QMCH_DATA</t>
  </si>
  <si>
    <t>Channel Status</t>
  </si>
  <si>
    <t>QMCHAN_ST</t>
  </si>
  <si>
    <t>Application Health Status</t>
  </si>
  <si>
    <t>KYNAPHLTH</t>
  </si>
  <si>
    <t>R/3_Transaction_Performance</t>
  </si>
  <si>
    <t>KSAALERTS</t>
  </si>
  <si>
    <t>KSADUMPS</t>
  </si>
  <si>
    <t>KLZ_Disk</t>
  </si>
  <si>
    <t>KLZDISK</t>
  </si>
  <si>
    <t>KLZ_Network</t>
  </si>
  <si>
    <t>KLZNET</t>
  </si>
  <si>
    <t>KLZ_CPU</t>
  </si>
  <si>
    <t>KLZCPU</t>
  </si>
  <si>
    <t>KLZ_Process</t>
  </si>
  <si>
    <t>KLZPROC</t>
  </si>
  <si>
    <t>KLZ_VM_Stats</t>
  </si>
  <si>
    <t>KLZVM</t>
  </si>
  <si>
    <t>KQ7_WEB_SERVICE</t>
  </si>
  <si>
    <t>KQ7WEBSERV</t>
  </si>
  <si>
    <t>KQ7_IIS_WEB_SITES_DETAIL</t>
  </si>
  <si>
    <t>KQ7WSITDTL</t>
  </si>
  <si>
    <t>Web Services Gate Way</t>
  </si>
  <si>
    <t>KRZ_RDB_DICTIONARY_CACHE_RATIO</t>
  </si>
  <si>
    <t>KRZDICCART</t>
  </si>
  <si>
    <t>KRZ_RDB_INSTANCE_INFO</t>
  </si>
  <si>
    <t>KRZINSTINF</t>
  </si>
  <si>
    <t>KRZ_RDB_LIBRARY_CACHE_RATIO</t>
  </si>
  <si>
    <t>KRZLIBCART</t>
  </si>
  <si>
    <t>NT_Process_64</t>
  </si>
  <si>
    <t>NTPROCESS</t>
  </si>
  <si>
    <t>MS_Exchange_IS</t>
  </si>
  <si>
    <t>KKJ_MONGO_INST_DB_LOCK</t>
  </si>
  <si>
    <t>KKJMONGOI0</t>
  </si>
  <si>
    <t>KKJ_MONGO_INST_IO_INFO</t>
  </si>
  <si>
    <t>KKJMONGOIO</t>
  </si>
  <si>
    <t>KKM_COMPATIBILITY_TEST</t>
  </si>
  <si>
    <t>KKMCOMPATI</t>
  </si>
  <si>
    <t>KKM_ASSOCIATED_PROCESSES</t>
  </si>
  <si>
    <t>KKMASSOCIA</t>
  </si>
  <si>
    <t>KKM_NAME_AND_LOCATION</t>
  </si>
  <si>
    <t>KKMNAMEAND</t>
  </si>
  <si>
    <t>KKM_APPLICATION_RAM_USAGE</t>
  </si>
  <si>
    <t>KKM_APPLICATION_CPU_USAGE</t>
  </si>
  <si>
    <t>KOQLOCK</t>
  </si>
  <si>
    <t>KOQPRCS</t>
  </si>
  <si>
    <t>KOQPRCD</t>
  </si>
  <si>
    <t>KOQPROBS</t>
  </si>
  <si>
    <t>KOQPROBD</t>
  </si>
  <si>
    <t>KOQSTATS</t>
  </si>
  <si>
    <t>KOQSTATD</t>
  </si>
  <si>
    <t>KOQTBLD</t>
  </si>
  <si>
    <t>KOQLOKSU</t>
  </si>
  <si>
    <t>KBN_CPUUSAGE</t>
  </si>
  <si>
    <t>KBNCPUUSAG</t>
  </si>
  <si>
    <t>KBN_HTTPTRANSACTIONS2</t>
  </si>
  <si>
    <t>KBNDPSTAT0</t>
  </si>
  <si>
    <t>KBN_SERVICESSTATUS</t>
  </si>
  <si>
    <t>KBNDPSTAT2</t>
  </si>
  <si>
    <t>KBN_HTTPMEANTRANSACTIONTIME2</t>
  </si>
  <si>
    <t>KBNDPSTAT3</t>
  </si>
  <si>
    <t>KBN_ETHERNETINTERFACE</t>
  </si>
  <si>
    <t>KBNDPSTAT4</t>
  </si>
  <si>
    <t>KBN_NETWORKTRANSMITDATATHROUGHPUT</t>
  </si>
  <si>
    <t>KBNDPSTAT5</t>
  </si>
  <si>
    <t>KBN_NETWORKRECEIVEDATATHROUGHPUT</t>
  </si>
  <si>
    <t>KBNDPSTAT6</t>
  </si>
  <si>
    <t>KBN_FILESYSTEMSTATUS</t>
  </si>
  <si>
    <t>KBNFILESYS</t>
  </si>
  <si>
    <t>KBN_FIRMWAREVERSION</t>
  </si>
  <si>
    <t>KBNFIRMWAR</t>
  </si>
  <si>
    <t>KBN_MEMORYSTATUS</t>
  </si>
  <si>
    <t>KBNMEMORYS</t>
  </si>
  <si>
    <t>KBN_SYSTEMUSAGE</t>
  </si>
  <si>
    <t>KBNSYSTEMU</t>
  </si>
  <si>
    <t>MS_SQL_Server_Summary</t>
  </si>
  <si>
    <t>MS_SQL_Server_Detail</t>
  </si>
  <si>
    <t>MS_SQL_Database_Summary</t>
  </si>
  <si>
    <t>KYNAPP</t>
  </si>
  <si>
    <t>KYNAPSRV</t>
  </si>
  <si>
    <t>KYNAPSST</t>
  </si>
  <si>
    <t>KYNLOGANAL</t>
  </si>
  <si>
    <t>KYNCONTNR</t>
  </si>
  <si>
    <t>KYNDBCONP</t>
  </si>
  <si>
    <t>KYNCNTROP</t>
  </si>
  <si>
    <t>KYNEJB</t>
  </si>
  <si>
    <t>KYNGCACT</t>
  </si>
  <si>
    <t>KKJ_COLLECTION_STORAGE</t>
  </si>
  <si>
    <t>KKJ_GLOBAL_STATUS</t>
  </si>
  <si>
    <t>KKJ_MII_COPY_FOR_APMUI_ONE</t>
  </si>
  <si>
    <t>KKJ_MII_COPY_FOR_APMUI_TWO</t>
  </si>
  <si>
    <t>KKJ_MONGO_INSTANCE_INFORMATION</t>
  </si>
  <si>
    <t>KKJ_MONGOD_LISTING</t>
  </si>
  <si>
    <t>KKJ_RESPONSE_TIMES</t>
  </si>
  <si>
    <t>KKJ_ROUTER_LOCATION</t>
  </si>
  <si>
    <t>KKJ_RT_COPY_FOR_APMUI</t>
  </si>
  <si>
    <t>KYNTRANS</t>
  </si>
  <si>
    <t>MS_SQL_Device_Detail</t>
  </si>
  <si>
    <t>MS_SQL_Lock_Detail</t>
  </si>
  <si>
    <t>MS_SQL_Lock_Conflict_Detail</t>
  </si>
  <si>
    <t>MS_SQL_Process_Summary</t>
  </si>
  <si>
    <t>MS_SQL_Process_Detail</t>
  </si>
  <si>
    <t>MS_SQL_Problem_Summary</t>
  </si>
  <si>
    <t>MS_SQL_Problem_Detail</t>
  </si>
  <si>
    <t>MS_SQL_Statistics_Summary</t>
  </si>
  <si>
    <t>MS_SQL_Statistics_Detail</t>
  </si>
  <si>
    <t>MS_SQL_Table_Detail</t>
  </si>
  <si>
    <t>MS_SQL_Lock_Summary</t>
  </si>
  <si>
    <t>KOQSRVS</t>
  </si>
  <si>
    <t>KOQSRVD</t>
  </si>
  <si>
    <t>KOQDBS</t>
  </si>
  <si>
    <t>KOQDBD</t>
  </si>
  <si>
    <t>KOQDEVD</t>
  </si>
  <si>
    <t>KOQLOCKS</t>
  </si>
  <si>
    <t>AIX_LPAR</t>
  </si>
  <si>
    <t>UNIXLPAR</t>
  </si>
  <si>
    <t>AIX_WPAR_Information</t>
  </si>
  <si>
    <t>UNIXWPARIN</t>
  </si>
  <si>
    <t>AIX_WPAR_CPU</t>
  </si>
  <si>
    <t>UNIXWPARCP</t>
  </si>
  <si>
    <t>AIX_WPAR_Physical_Memory</t>
  </si>
  <si>
    <t>UNIXWPARPM</t>
  </si>
  <si>
    <t>MySQL</t>
  </si>
  <si>
    <t>KKMCOMPONE</t>
  </si>
  <si>
    <t>KKM_COMPONENTS</t>
  </si>
  <si>
    <t>KKMMIDDLEW</t>
  </si>
  <si>
    <t>KKM_MIDDLEWARE</t>
  </si>
  <si>
    <t>KKMBUNDLED</t>
  </si>
  <si>
    <t>KKM_BUNDLED_GEMS</t>
  </si>
  <si>
    <t>KKMDATABAS</t>
  </si>
  <si>
    <t>KKM_DATABASES</t>
  </si>
  <si>
    <t>KKMVISITAT</t>
  </si>
  <si>
    <t>KKM_VISITATION_LOG</t>
  </si>
  <si>
    <t>KKMVISITA0</t>
  </si>
  <si>
    <t>KKM_VISITATION_LOG_SUMMARY</t>
  </si>
  <si>
    <t>KQ7_AVAILABILITY</t>
  </si>
  <si>
    <t>KQ7AVAIL</t>
  </si>
  <si>
    <t>KQ7_IIS_FTP_SITES_DETAIL</t>
  </si>
  <si>
    <t>KQ7FSITDTL</t>
  </si>
  <si>
    <t>KQ7_IIS_APPLICATION_POOLS_SETTING</t>
  </si>
  <si>
    <t>KQ7IISAPPL</t>
  </si>
  <si>
    <t>MS_Exchange_Database_Availability_Group</t>
  </si>
  <si>
    <t>MSEDAG</t>
  </si>
  <si>
    <t>MS_Exchange_IS_Private</t>
  </si>
  <si>
    <t>MS_Exchange_IS_Public</t>
  </si>
  <si>
    <t>MS_Exchange_IS_Public_Replication</t>
  </si>
  <si>
    <t>KYNMSGENG</t>
  </si>
  <si>
    <t>KYNSVCOMEL</t>
  </si>
  <si>
    <t>KYNWEBSGW</t>
  </si>
  <si>
    <t>KYNWEBSVC</t>
  </si>
  <si>
    <t>MS_Exchange_Storage_Group_Detail</t>
  </si>
  <si>
    <t>MSESGRPD</t>
  </si>
  <si>
    <t>MS_Exchange_Transport_Queues</t>
  </si>
  <si>
    <t>MSETRQUE</t>
  </si>
  <si>
    <t>R/3_Work_Processes</t>
  </si>
  <si>
    <t>R/3_Instance_Configuration</t>
  </si>
  <si>
    <t>Web Applications</t>
  </si>
  <si>
    <t>Web Services</t>
  </si>
  <si>
    <t>Broker Status</t>
  </si>
  <si>
    <t>KQITBRKS</t>
  </si>
  <si>
    <t>Accounting Message Flow Statistics</t>
  </si>
  <si>
    <t>KQITACMF</t>
  </si>
  <si>
    <t>Execution Group Status</t>
  </si>
  <si>
    <t>KQITEGRS</t>
  </si>
  <si>
    <t>Message Flow Status</t>
  </si>
  <si>
    <t>KQITMFLS</t>
  </si>
  <si>
    <t>JVM Resource Statistics</t>
  </si>
  <si>
    <t>KQITRSJV</t>
  </si>
  <si>
    <t>K3ZNTDSLDP</t>
  </si>
  <si>
    <t>MSEISPUR</t>
  </si>
  <si>
    <t>MSESERVR</t>
  </si>
  <si>
    <t>MS_SQL_Database_Detail</t>
  </si>
  <si>
    <t>KRZ_RDB_TABLESPACENORMAL_USAGE</t>
  </si>
  <si>
    <t>KRZTSNLUE</t>
  </si>
  <si>
    <t>KSAJOBS</t>
  </si>
  <si>
    <t>KSALOCKS</t>
  </si>
  <si>
    <t>KSAPROCESS</t>
  </si>
  <si>
    <t>KSASYS</t>
  </si>
  <si>
    <t>KSATRANS</t>
  </si>
  <si>
    <t>Network</t>
  </si>
  <si>
    <t>UNIXNET</t>
  </si>
  <si>
    <t>Servlets JSPs</t>
  </si>
  <si>
    <t>Thread Pools</t>
  </si>
  <si>
    <t>Messaging Engines</t>
  </si>
  <si>
    <t>Request Analysis</t>
  </si>
  <si>
    <t>NT_IP_Address</t>
  </si>
  <si>
    <t>NTIPADDR</t>
  </si>
  <si>
    <t>KKJCOLLECT</t>
  </si>
  <si>
    <t>KKJGLOBALS</t>
  </si>
  <si>
    <t>KKJMIICOPY</t>
  </si>
  <si>
    <t>KKJMIICOP0</t>
  </si>
  <si>
    <t>KKJMONGOIN</t>
  </si>
  <si>
    <t>KKJMONGODL</t>
  </si>
  <si>
    <t>KKJRESPONS</t>
  </si>
  <si>
    <t>KKJROUTERL</t>
  </si>
  <si>
    <t>KKJRTCOPYF</t>
  </si>
  <si>
    <t>MongoDB</t>
  </si>
  <si>
    <t>Current Queue Manager Status</t>
  </si>
  <si>
    <t>QMCURSTAT</t>
  </si>
  <si>
    <t>Listener Status</t>
  </si>
  <si>
    <t>QMLSSTATUS</t>
  </si>
  <si>
    <t>Queue Data</t>
  </si>
  <si>
    <t>QMQ_DATA</t>
  </si>
  <si>
    <t>Queue Status</t>
  </si>
  <si>
    <t>QMQ_QU_ST</t>
  </si>
  <si>
    <t>MS_SQL_Job_Detail</t>
  </si>
  <si>
    <t>MS_SQL_Job_Summary</t>
  </si>
  <si>
    <t>MS_SQL_Lock_Resource_Type_Summary</t>
  </si>
  <si>
    <t>MS_SQL_Services_Detail</t>
  </si>
  <si>
    <t>KOQJOBD</t>
  </si>
  <si>
    <t>KOQJOBS</t>
  </si>
  <si>
    <t>KOQLRTS</t>
  </si>
  <si>
    <t>KOQSRVCD</t>
  </si>
  <si>
    <t>QMERRLOG</t>
  </si>
  <si>
    <t>Linux_OS_Config</t>
  </si>
  <si>
    <t>UNIXPS</t>
  </si>
  <si>
    <t>WRT Transaction Status</t>
  </si>
  <si>
    <t>T5TXCS</t>
  </si>
  <si>
    <t>MS_Exchange_IS_Client</t>
  </si>
  <si>
    <t>MSEISCLI</t>
  </si>
  <si>
    <t>MS_Exchange_OWA</t>
  </si>
  <si>
    <t>MSEOWA</t>
  </si>
  <si>
    <t>KRZ_RDB_ALERT_LOG_SUMMARY</t>
  </si>
  <si>
    <t>KRZRDBLOGS</t>
  </si>
  <si>
    <t>KRZ_RDB_RESOURCE_LIMITATION</t>
  </si>
  <si>
    <t>KRZRESLIMN</t>
  </si>
  <si>
    <t>KRZ_RDB_SGA_OVERVIEW</t>
  </si>
  <si>
    <t>KRZSGAOVEW</t>
  </si>
  <si>
    <t>KUD_DB2_Database00</t>
  </si>
  <si>
    <t>KUD_DB2_IPADDR_TABLE</t>
  </si>
  <si>
    <t>KUD_DB2_System_Overview</t>
  </si>
  <si>
    <t>KUDDBASE00</t>
  </si>
  <si>
    <t>KUDIPADDR</t>
  </si>
  <si>
    <t>KUDSYSINFO</t>
  </si>
  <si>
    <t>KV1_HOSTS</t>
  </si>
  <si>
    <t>KV1HOSTAG</t>
  </si>
  <si>
    <t>NTCOMPINFO</t>
  </si>
  <si>
    <t>NT_Memory_64</t>
  </si>
  <si>
    <t>NTMEMORY</t>
  </si>
  <si>
    <t>NT_Network_Interface</t>
  </si>
  <si>
    <t>NTNETWRKIN</t>
  </si>
  <si>
    <t>KYNTHRDP</t>
  </si>
  <si>
    <t>R/3_Batch_Jobs</t>
  </si>
  <si>
    <t>R/3_Lock_Entries</t>
  </si>
  <si>
    <t>MS_Exchange_Server</t>
  </si>
  <si>
    <t>MS_Exchange_Services_Detail</t>
  </si>
  <si>
    <t>MSESRVCD</t>
  </si>
  <si>
    <t>KYNREQHIS</t>
  </si>
  <si>
    <t>Machine_Information</t>
  </si>
  <si>
    <t>UNIX_IP_Address</t>
  </si>
  <si>
    <t>UNIXMEM</t>
  </si>
  <si>
    <t>UNIXMACHIN</t>
  </si>
  <si>
    <t>UNIXIPADDR</t>
  </si>
  <si>
    <t>KRZ_RDB_TABLE_SIZE</t>
  </si>
  <si>
    <t>KRZDBTBSZ</t>
  </si>
  <si>
    <t>Request Times and Rates</t>
  </si>
  <si>
    <t>Service Component Elements</t>
  </si>
  <si>
    <t>KQ7_IIS_WEB_SERVER_STATUS</t>
  </si>
  <si>
    <t>KQ7IISWEB1</t>
  </si>
  <si>
    <t>KQ7_IIS_VERSION_INFORMATION</t>
  </si>
  <si>
    <t>KQ7IISWEBI</t>
  </si>
  <si>
    <t>Unix_Memory</t>
  </si>
  <si>
    <t>KUD_DB2_Table</t>
  </si>
  <si>
    <t>KUDTABLE</t>
  </si>
  <si>
    <t>MS_SQL_Memory_Manager</t>
  </si>
  <si>
    <t>K3ZNTDSDCA</t>
  </si>
  <si>
    <t>K3ZNTDSDCP</t>
  </si>
  <si>
    <t>Garbage Collection Analysis</t>
  </si>
  <si>
    <t>Log Analysis</t>
  </si>
  <si>
    <t>MSEIS</t>
  </si>
  <si>
    <t>MSEISPRI</t>
  </si>
  <si>
    <t>MSEISPUB</t>
  </si>
  <si>
    <t>KV1_STORAGE_POOLS</t>
  </si>
  <si>
    <t>KV1STGPLAG</t>
  </si>
  <si>
    <t>KV1_VIRTUAL_MACHINES</t>
  </si>
  <si>
    <t>KV1VMACHAG</t>
  </si>
  <si>
    <t>UNIXOS</t>
  </si>
  <si>
    <t>KBN_DOMAINSTATUS</t>
  </si>
  <si>
    <t>KBN_AGENTSTATUS</t>
  </si>
  <si>
    <t>KBN_SQLCONNECTIONS</t>
  </si>
  <si>
    <t>KBN_SERVICESMEMORYSTATUS</t>
  </si>
  <si>
    <t>KBN_MQCONNECTIONS</t>
  </si>
  <si>
    <t>JE</t>
  </si>
  <si>
    <t>HU</t>
  </si>
  <si>
    <t>HTTP Servers</t>
  </si>
  <si>
    <t>EX</t>
  </si>
  <si>
    <t>Exchange</t>
  </si>
  <si>
    <t>BN</t>
  </si>
  <si>
    <t>3Z</t>
  </si>
  <si>
    <t>KJ</t>
  </si>
  <si>
    <t>KM</t>
  </si>
  <si>
    <t>Ruby</t>
  </si>
  <si>
    <t>LZ</t>
  </si>
  <si>
    <t>MQ</t>
  </si>
  <si>
    <t>Attributes</t>
  </si>
  <si>
    <t>KBNAGENTST</t>
  </si>
  <si>
    <t>KBNDSTATUS</t>
  </si>
  <si>
    <t>KBNMQCON</t>
  </si>
  <si>
    <t>KBNSMSTAT</t>
  </si>
  <si>
    <t>KBNSQLCON</t>
  </si>
  <si>
    <t>MS_Exchange_IS_Store</t>
  </si>
  <si>
    <t>MSEISSTR</t>
  </si>
  <si>
    <t>MS_Exchange_Replication_Version630</t>
  </si>
  <si>
    <t>MSEREPLI</t>
  </si>
  <si>
    <t>KHU_SERVER_INFO</t>
  </si>
  <si>
    <t>KHUSVRINFO</t>
  </si>
  <si>
    <t>KHU_WEBSITE</t>
  </si>
  <si>
    <t>KHUWEBSITE</t>
  </si>
  <si>
    <t>KHU_WEB_SERVER</t>
  </si>
  <si>
    <t>KHUWEBSVR</t>
  </si>
  <si>
    <t>KJE_GARBAGECOLLECTOR_RUNTIME</t>
  </si>
  <si>
    <t>KJEGARBAG0</t>
  </si>
  <si>
    <t>KJE_GARBAGECOLLECTOR</t>
  </si>
  <si>
    <t>KJEGARBAGE</t>
  </si>
  <si>
    <t>KJE_HTTPSOCKET</t>
  </si>
  <si>
    <t>KJEHTTPSOC</t>
  </si>
  <si>
    <t>KJE_J2EEAPPLICATION_RUNTIME</t>
  </si>
  <si>
    <t>KJEJ2EEAP0</t>
  </si>
  <si>
    <t>KJE_J2EEAPPLICATION</t>
  </si>
  <si>
    <t>KJEJ2EEAPP</t>
  </si>
  <si>
    <t>KJE_MEMORY</t>
  </si>
  <si>
    <t>KJEMEMORY</t>
  </si>
  <si>
    <t>KJE_OPERATINGSYSTEM_RUNTIME</t>
  </si>
  <si>
    <t>KJEOPERAT0</t>
  </si>
  <si>
    <t>KJE_RUNTIME</t>
  </si>
  <si>
    <t>KJERUNTIME</t>
  </si>
  <si>
    <t>KJE_SERVER</t>
  </si>
  <si>
    <t>KJESERVER</t>
  </si>
  <si>
    <t>KJE_THREADPOOL</t>
  </si>
  <si>
    <t>KJETHREADP</t>
  </si>
  <si>
    <t>KJE_WEB</t>
  </si>
  <si>
    <t>KJEWEB</t>
  </si>
  <si>
    <t>KKMAPPLCPU</t>
  </si>
  <si>
    <t>KKMAPPLMEM</t>
  </si>
  <si>
    <t>QMEVENTC</t>
  </si>
  <si>
    <t>MS_SQL_Availability_Database_Summary</t>
  </si>
  <si>
    <t>KOQADBSU</t>
  </si>
  <si>
    <t>MS_SQL_Availability_Replicas_Status</t>
  </si>
  <si>
    <t>KOQAVARS</t>
  </si>
  <si>
    <t>MS_SQL_Availability_Database_Details</t>
  </si>
  <si>
    <t>KOQAVDBD</t>
  </si>
  <si>
    <t>MS_SQL_Availability_Replicas_Status_Summary</t>
  </si>
  <si>
    <t>KOQAVRSU</t>
  </si>
  <si>
    <t>MS_SQL_Availability_Groups_Details</t>
  </si>
  <si>
    <t>KOQGRPDT</t>
  </si>
  <si>
    <t>MS_SQL_Availability_Groups_Summary</t>
  </si>
  <si>
    <t>KOQGRPSM</t>
  </si>
  <si>
    <t>MS_SQL_Server_Enterprise_View</t>
  </si>
  <si>
    <t>MS_SQL_Server_Transactions_Summary</t>
  </si>
  <si>
    <t>KOQSTRNS</t>
  </si>
  <si>
    <t>MS_SQL_Server_Properties</t>
  </si>
  <si>
    <t>KOQSVRPR</t>
  </si>
  <si>
    <t>KPN_SERVER_INFO</t>
  </si>
  <si>
    <t>KPNSVRINFO</t>
  </si>
  <si>
    <t>KQE_IIS_WEB_SITES_DETAIL</t>
  </si>
  <si>
    <t>KQEWSITDTL</t>
  </si>
  <si>
    <t>KRZ_SERVER_INFO</t>
  </si>
  <si>
    <t>KRZSERVERI</t>
  </si>
  <si>
    <t>PI_BPE_Monitoring</t>
  </si>
  <si>
    <t>KSABPESTM</t>
  </si>
  <si>
    <t>PI_BP_ENGINE_STATUS</t>
  </si>
  <si>
    <t>KSABPESTTS</t>
  </si>
  <si>
    <t>R/3_Buffer_Performance_64</t>
  </si>
  <si>
    <t>KSABUFFER2</t>
  </si>
  <si>
    <t>PI_Component_Monitoring</t>
  </si>
  <si>
    <t>KSACOMMON</t>
  </si>
  <si>
    <t>SAP_Connection_Monitoring</t>
  </si>
  <si>
    <t>KSACONMON</t>
  </si>
  <si>
    <t>SAP_MAI_BP_MON</t>
  </si>
  <si>
    <t>KSAMAIBPM</t>
  </si>
  <si>
    <t>SAP_MAI_PICHN_MON</t>
  </si>
  <si>
    <t>KSAMAICHN</t>
  </si>
  <si>
    <t>SAP_MAI_ALERTS</t>
  </si>
  <si>
    <t>KSAMAINBX</t>
  </si>
  <si>
    <t>SAP_MAI_PI_MON</t>
  </si>
  <si>
    <t>KSAMAIPIMN</t>
  </si>
  <si>
    <t>PI_XI_Persist_layer</t>
  </si>
  <si>
    <t>KSAPERLAYR</t>
  </si>
  <si>
    <t>SAP_qRFC_Inbound_Queues_Overview</t>
  </si>
  <si>
    <t>KSAQRFCIN</t>
  </si>
  <si>
    <t>SAP_qRFC_Outbound_Queue_overview</t>
  </si>
  <si>
    <t>KSAQRFCOUT</t>
  </si>
  <si>
    <t>SAP_qRFC_Saved_Inbound_Queues_Overview</t>
  </si>
  <si>
    <t>KSAQRFCSA</t>
  </si>
  <si>
    <t>PI_XI_RNTCHE_STAT</t>
  </si>
  <si>
    <t>KSARNCHEST</t>
  </si>
  <si>
    <t>R/3_System_Log</t>
  </si>
  <si>
    <t>KSASLOG</t>
  </si>
  <si>
    <t>PI_XI_SYN_ASYN_COMM</t>
  </si>
  <si>
    <t>KSASYNASYN</t>
  </si>
  <si>
    <t>SAP_MAI_SYS_MON</t>
  </si>
  <si>
    <t>KSASYSMON</t>
  </si>
  <si>
    <t>KVM_CLUSTERED_DATASTORES</t>
  </si>
  <si>
    <t>KVMCLTRDST</t>
  </si>
  <si>
    <t>KVM_CLUSTERED_VIRTUAL_MACHINES</t>
  </si>
  <si>
    <t>KVMCLTRVMS</t>
  </si>
  <si>
    <t>KVM_CLUSTERS</t>
  </si>
  <si>
    <t>KVMCLUSTRT</t>
  </si>
  <si>
    <t>KVM_DATACENTERS</t>
  </si>
  <si>
    <t>KVMDCTRS</t>
  </si>
  <si>
    <t>KVM_DATASTORES</t>
  </si>
  <si>
    <t>KVMDSTORES</t>
  </si>
  <si>
    <t>KVM_SERVER</t>
  </si>
  <si>
    <t>KVMSERVERG</t>
  </si>
  <si>
    <t>KVM_SERVER_DATASTORE</t>
  </si>
  <si>
    <t>KVMSERVRDS</t>
  </si>
  <si>
    <t>KVM_VCENTERS</t>
  </si>
  <si>
    <t>KVMVCENTER</t>
  </si>
  <si>
    <t>KVM_VM_DATASTORE_UTILIZATION</t>
  </si>
  <si>
    <t>KVMVMDSUTL</t>
  </si>
  <si>
    <t>KVM_VIRTUAL_MACHINES</t>
  </si>
  <si>
    <t>KVMVM_GEN</t>
  </si>
  <si>
    <t>NJ</t>
  </si>
  <si>
    <t>NT</t>
  </si>
  <si>
    <t>OQ</t>
  </si>
  <si>
    <t>OT</t>
  </si>
  <si>
    <t>PJ</t>
  </si>
  <si>
    <t>PN</t>
  </si>
  <si>
    <t>Q7</t>
  </si>
  <si>
    <t>QE</t>
  </si>
  <si>
    <t>QI</t>
  </si>
  <si>
    <t>RZ</t>
  </si>
  <si>
    <t>SA</t>
  </si>
  <si>
    <t>SE</t>
  </si>
  <si>
    <t>T5</t>
  </si>
  <si>
    <t>UD</t>
  </si>
  <si>
    <t>UX</t>
  </si>
  <si>
    <t>V1</t>
  </si>
  <si>
    <t>VM</t>
  </si>
  <si>
    <t>YN</t>
  </si>
  <si>
    <t>Microsoft IIS</t>
  </si>
  <si>
    <t>Microsoft .NET</t>
  </si>
  <si>
    <t>Product Code</t>
  </si>
  <si>
    <t>DB Table Name</t>
  </si>
  <si>
    <t>Agent Table Name</t>
  </si>
  <si>
    <t>Upload Interval</t>
  </si>
  <si>
    <t>VarChar Length</t>
  </si>
  <si>
    <t>KOQSRVRE</t>
  </si>
  <si>
    <t>Upload Length</t>
  </si>
  <si>
    <t>JBoss</t>
  </si>
  <si>
    <t>Current Events</t>
  </si>
  <si>
    <t>S</t>
  </si>
  <si>
    <t>M</t>
  </si>
  <si>
    <t>% of DB rows inserted</t>
  </si>
  <si>
    <t>% of DB space</t>
  </si>
  <si>
    <t>Total data in DB (GB)</t>
  </si>
  <si>
    <t>Total data inserted into DB</t>
  </si>
  <si>
    <t>VMs monitored per agent</t>
  </si>
  <si>
    <t>Size parameter</t>
  </si>
  <si>
    <t>Total agents</t>
  </si>
  <si>
    <t>Upload bytes per second per agent</t>
  </si>
  <si>
    <t>Upload bytes per second total</t>
  </si>
  <si>
    <t>Total row count across all agent tables</t>
  </si>
  <si>
    <t>Assumptions</t>
  </si>
  <si>
    <t>KB per second</t>
  </si>
  <si>
    <t>MB per minute</t>
  </si>
  <si>
    <t>MB per hour</t>
  </si>
  <si>
    <t>GB per day</t>
  </si>
  <si>
    <t>Network usage - total uploaded data</t>
  </si>
  <si>
    <t>rows per second</t>
  </si>
  <si>
    <t>rows per minute</t>
  </si>
  <si>
    <t>rows per hour</t>
  </si>
  <si>
    <t>% of VARCHAR fields trimmed</t>
  </si>
  <si>
    <t>% compression of DB tables</t>
  </si>
  <si>
    <t>DB rows inserted per minute per agent</t>
  </si>
  <si>
    <t>DB rows inserted per minute total</t>
  </si>
  <si>
    <t>VarChar Trim %</t>
  </si>
  <si>
    <t>Tables monitored per agent</t>
  </si>
  <si>
    <t>DB KB inserted per minute total</t>
  </si>
  <si>
    <t>KB per minute</t>
  </si>
  <si>
    <t>million rows per day</t>
  </si>
  <si>
    <t>Total disk space usage across all agent tables (MB)</t>
  </si>
  <si>
    <t>KBNOBCOUNT</t>
  </si>
  <si>
    <t>KBN_OBJECTSTATUSCOUNT</t>
  </si>
  <si>
    <t>D0</t>
  </si>
  <si>
    <t>KD0_CLUSTERMANAGER</t>
  </si>
  <si>
    <t>KD0CLUSTER</t>
  </si>
  <si>
    <t>KD0_CLUSTERMEMBER</t>
  </si>
  <si>
    <t>KD0CLUSTME</t>
  </si>
  <si>
    <t>KD0_DEPLOYMENTMANAGERINFO</t>
  </si>
  <si>
    <t>KD0DMGRINF</t>
  </si>
  <si>
    <t>KD0_DMGRJVMRUNTIME</t>
  </si>
  <si>
    <t>KD0DMGRJRT</t>
  </si>
  <si>
    <t>KD0_DMGRTHREADPOOL</t>
  </si>
  <si>
    <t>KD0DMGRTHP</t>
  </si>
  <si>
    <t>KD0_NODEAGENT</t>
  </si>
  <si>
    <t>KD0NODEAGT</t>
  </si>
  <si>
    <t>KD0_NODEAPPLICATIONSERVERS</t>
  </si>
  <si>
    <t>KD0NODEAPP</t>
  </si>
  <si>
    <t>KD0_NODEDCSSTATISTICS</t>
  </si>
  <si>
    <t>KD0NODEDCS</t>
  </si>
  <si>
    <t>KD0_NODEHAMANAGER</t>
  </si>
  <si>
    <t>KD0NODEHAM</t>
  </si>
  <si>
    <t>KD0_NODEAGENTINFO</t>
  </si>
  <si>
    <t>KD0NODEINF</t>
  </si>
  <si>
    <t>KD0_NODEJVMRUNTIME</t>
  </si>
  <si>
    <t>KD0NODEJRT</t>
  </si>
  <si>
    <t>KD0_NODETHREADPOOL</t>
  </si>
  <si>
    <t>KD0NODETHP</t>
  </si>
  <si>
    <t>KD0_WLMCLIENT</t>
  </si>
  <si>
    <t>KD0NODEWLC</t>
  </si>
  <si>
    <t>KD0_WLMSERVER</t>
  </si>
  <si>
    <t>KD0NODEWLS</t>
  </si>
  <si>
    <t>WebSphere Infrastructure Manager</t>
  </si>
  <si>
    <t>HV</t>
  </si>
  <si>
    <t>KHV_AVAILABILITY</t>
  </si>
  <si>
    <t>KHVAVAIL</t>
  </si>
  <si>
    <t>KHV_PROCESSOR</t>
  </si>
  <si>
    <t>KHVGETPRO0</t>
  </si>
  <si>
    <t>KHV_VIRTUAL_MACHINE</t>
  </si>
  <si>
    <t>KHVGETVIR0</t>
  </si>
  <si>
    <t>KHV_HYPER_V_SERVER_DISK</t>
  </si>
  <si>
    <t>KHVHVSDISK</t>
  </si>
  <si>
    <t>KHV_HYPER_V_SUMMARY</t>
  </si>
  <si>
    <t>KHVHYPERV</t>
  </si>
  <si>
    <t>KHV_HYPERVISOR</t>
  </si>
  <si>
    <t>KHVHYPERVI</t>
  </si>
  <si>
    <t>KHV_VIRTUAL_MACHINE_DETAILS</t>
  </si>
  <si>
    <t>KHVVMOSJOI</t>
  </si>
  <si>
    <t>Microsoft Hyper-V Server</t>
  </si>
  <si>
    <t>KLZ_System_Statistics</t>
  </si>
  <si>
    <t>KLZSYS</t>
  </si>
  <si>
    <t>Linux_CPU_Config</t>
  </si>
  <si>
    <t>LNXCPUCON</t>
  </si>
  <si>
    <t>NT_Paging_File</t>
  </si>
  <si>
    <t>NTPAGEFILE</t>
  </si>
  <si>
    <t>NT_Objects</t>
  </si>
  <si>
    <t>WTOBJECTS</t>
  </si>
  <si>
    <t>KOT_SERVLET_RUNTIME</t>
  </si>
  <si>
    <t>KOTSERVLE0</t>
  </si>
  <si>
    <t>PH</t>
  </si>
  <si>
    <t>KPH_VERSION_INFORMATION</t>
  </si>
  <si>
    <t>KPH02VERSI</t>
  </si>
  <si>
    <t>KPH_MANAGED_CECS</t>
  </si>
  <si>
    <t>KPH09MANAC</t>
  </si>
  <si>
    <t>KPH_EVENTS</t>
  </si>
  <si>
    <t>KPH11CLPEV</t>
  </si>
  <si>
    <t>KPH_SERVER_CPU_POOLS</t>
  </si>
  <si>
    <t>KPHSVRCPUP</t>
  </si>
  <si>
    <t>KPH_SERVER_DETAILS</t>
  </si>
  <si>
    <t>KPHSVRDETS</t>
  </si>
  <si>
    <t>KPH_SERVER_LPARS</t>
  </si>
  <si>
    <t>KPHSVRLPAR</t>
  </si>
  <si>
    <t>HMC Base</t>
  </si>
  <si>
    <t>KQE_ASP_NET_APPS_ERROR_FILTER</t>
  </si>
  <si>
    <t>KQEASPNEF2</t>
  </si>
  <si>
    <t>KQE_WCF_OPERATION_LEVEL_DATA</t>
  </si>
  <si>
    <t>KQEWCFOPER</t>
  </si>
  <si>
    <t>KVM_SERVER_MEMORY</t>
  </si>
  <si>
    <t>KVMSERVERM</t>
  </si>
  <si>
    <t>KVM_SERVER_VM_DATASTORE_UTILIZATION</t>
  </si>
  <si>
    <t>KVMSVMDSUT</t>
  </si>
  <si>
    <t>KVM_VM_MEMORY</t>
  </si>
  <si>
    <t>KVMVM_MEM</t>
  </si>
  <si>
    <t>All rights Reserved</t>
  </si>
  <si>
    <t>To use this spreadsheet:</t>
  </si>
  <si>
    <t>Notes and Assumptions:</t>
  </si>
  <si>
    <t>Change history</t>
  </si>
  <si>
    <t>Rows per  Interval per Agent</t>
  </si>
  <si>
    <t>Total disk space usage</t>
  </si>
  <si>
    <t>Servlets</t>
  </si>
  <si>
    <t>Network overhead / heartbeat</t>
  </si>
  <si>
    <t>Total GB of disk usage</t>
  </si>
  <si>
    <t>Mbps received + transmitted</t>
  </si>
  <si>
    <t>Heartbeat</t>
  </si>
  <si>
    <t>Network overhead for upload data</t>
  </si>
  <si>
    <t>Network overhead / upload for pacing</t>
  </si>
  <si>
    <t>Total database row inserts</t>
  </si>
  <si>
    <t>Description of expected rows per interval</t>
  </si>
  <si>
    <t>One row per interval</t>
  </si>
  <si>
    <t>Number of connected SQL data sources</t>
  </si>
  <si>
    <t>Number of trusts</t>
  </si>
  <si>
    <t>Number of DataPower appliances for this agent</t>
  </si>
  <si>
    <t>Number of proxy services</t>
  </si>
  <si>
    <t>Number of services</t>
  </si>
  <si>
    <t>Number of proxy service classes</t>
  </si>
  <si>
    <t>Number of Ethernet interfaces plus 1</t>
  </si>
  <si>
    <t xml:space="preserve">Number of Ethernet interfaces </t>
  </si>
  <si>
    <t>Number of domains</t>
  </si>
  <si>
    <t xml:space="preserve">Number of connected queue managers </t>
  </si>
  <si>
    <t>Always one row per interval</t>
  </si>
  <si>
    <t>Number of clusters</t>
  </si>
  <si>
    <t>Number of cluster members</t>
  </si>
  <si>
    <t>Number of thread pools</t>
  </si>
  <si>
    <t>Number of node agents</t>
  </si>
  <si>
    <t>Number of node application servers</t>
  </si>
  <si>
    <t>Number of node agent thread pools</t>
  </si>
  <si>
    <t>One row for server</t>
  </si>
  <si>
    <t>Number of IS clients</t>
  </si>
  <si>
    <t>Number of private mailboxes</t>
  </si>
  <si>
    <t>Number of public folder stores</t>
  </si>
  <si>
    <t>Number of IS public replication instances</t>
  </si>
  <si>
    <t>Number of mailbox databases</t>
  </si>
  <si>
    <t>Number of storage groups</t>
  </si>
  <si>
    <t>Number of replication storage groups</t>
  </si>
  <si>
    <t>Number of Exchange services</t>
  </si>
  <si>
    <t>Number of websites</t>
  </si>
  <si>
    <t>Number of application components</t>
  </si>
  <si>
    <t>Number of virtual machines</t>
  </si>
  <si>
    <t>Number of logical disks across all virtual machines</t>
  </si>
  <si>
    <t>Number of garbage collector types</t>
  </si>
  <si>
    <t>Number of applications</t>
  </si>
  <si>
    <t>Number of J2EE applications</t>
  </si>
  <si>
    <t>Number of servlets</t>
  </si>
  <si>
    <t>Number of web applications</t>
  </si>
  <si>
    <t>Number of collections</t>
  </si>
  <si>
    <t>Number of databases</t>
  </si>
  <si>
    <t>Number of mongod instances</t>
  </si>
  <si>
    <t>Number of server ports</t>
  </si>
  <si>
    <t>Number of databases across all ports</t>
  </si>
  <si>
    <t xml:space="preserve">Number of databases across all collections </t>
  </si>
  <si>
    <t>Number of bundled gems</t>
  </si>
  <si>
    <t>Number of Ruby on Rails components</t>
  </si>
  <si>
    <t>Number of middleware components</t>
  </si>
  <si>
    <t>Number of URLs requested</t>
  </si>
  <si>
    <t>Number of URLs requested across all clients</t>
  </si>
  <si>
    <t>Number of CPU IDs plus 1</t>
  </si>
  <si>
    <t>Number of file systems</t>
  </si>
  <si>
    <t>Number of disk devices in /dev directory</t>
  </si>
  <si>
    <t>Number of network interfaces</t>
  </si>
  <si>
    <t>Top 5 processes for 4 metrics (up to 24)</t>
  </si>
  <si>
    <t>Number of listeners</t>
  </si>
  <si>
    <t>Number of new messages in queue manager error log</t>
  </si>
  <si>
    <t>Number of HTTP URL path names</t>
  </si>
  <si>
    <t>Number of IP addresses</t>
  </si>
  <si>
    <t>Number of page files</t>
  </si>
  <si>
    <t>Number of processor instances plus 1</t>
  </si>
  <si>
    <t>Number of logical disks</t>
  </si>
  <si>
    <t>Number of physical disks</t>
  </si>
  <si>
    <t>Number of availability replicas</t>
  </si>
  <si>
    <t>Number of availability databases</t>
  </si>
  <si>
    <t>Number of devices for databases</t>
  </si>
  <si>
    <t>Number of availability groups</t>
  </si>
  <si>
    <t>Number of SQL Server jobs</t>
  </si>
  <si>
    <t>Number of processes blocked on a lock request</t>
  </si>
  <si>
    <t>Number of locks held</t>
  </si>
  <si>
    <t>Number of resources that the SQL Server can lock</t>
  </si>
  <si>
    <t>Number of SQL server instances</t>
  </si>
  <si>
    <t>Number of processes using SQL server</t>
  </si>
  <si>
    <t>Number of new error messages</t>
  </si>
  <si>
    <t>Number of SQL server services</t>
  </si>
  <si>
    <t xml:space="preserve">Number of statistics </t>
  </si>
  <si>
    <t>Number of tables</t>
  </si>
  <si>
    <t>Number of request processors</t>
  </si>
  <si>
    <t>Number of session managers</t>
  </si>
  <si>
    <t>Number of managed CECs</t>
  </si>
  <si>
    <t>Number of new events that occurred</t>
  </si>
  <si>
    <t>Number of server CPU pools</t>
  </si>
  <si>
    <t>Number of managed servers</t>
  </si>
  <si>
    <t>Number of server LPARs</t>
  </si>
  <si>
    <t>Number of WordPress applications</t>
  </si>
  <si>
    <t>Number of web servers</t>
  </si>
  <si>
    <t>Number of web server metrics collected</t>
  </si>
  <si>
    <t>Number of databases with requests</t>
  </si>
  <si>
    <t>Number of processes waiting for locks</t>
  </si>
  <si>
    <t>Slowest 5 SQL statements</t>
  </si>
  <si>
    <t>Top operations by response time (max 10)</t>
  </si>
  <si>
    <t>Number of application pools</t>
  </si>
  <si>
    <t>Number of FTP sites</t>
  </si>
  <si>
    <t>Number of web sites</t>
  </si>
  <si>
    <t>Number of web services</t>
  </si>
  <si>
    <t>Number of ASP.NET applications</t>
  </si>
  <si>
    <t>Number of ASP.NET applications with errors</t>
  </si>
  <si>
    <t>Number of .NET applications</t>
  </si>
  <si>
    <t>Number of .NET processes</t>
  </si>
  <si>
    <t>Number of WCF services</t>
  </si>
  <si>
    <t>Number of active instances</t>
  </si>
  <si>
    <t>Number of resources</t>
  </si>
  <si>
    <t>Number of tablespaces</t>
  </si>
  <si>
    <t>Number of CCMS alerts agent configured to report</t>
  </si>
  <si>
    <t>Number of monitored batch jobs</t>
  </si>
  <si>
    <t>Number of work processes</t>
  </si>
  <si>
    <t>Number of locks</t>
  </si>
  <si>
    <t>Number of buffer/memory areas</t>
  </si>
  <si>
    <t>Number of application servers</t>
  </si>
  <si>
    <t>Number of Business Process engines</t>
  </si>
  <si>
    <t>Number monitored systems</t>
  </si>
  <si>
    <t>Number of ABAP dumps</t>
  </si>
  <si>
    <t>Number of new entries in system log</t>
  </si>
  <si>
    <t>Number of business applications or subapplications</t>
  </si>
  <si>
    <t>Number of RFC destinations monitored</t>
  </si>
  <si>
    <t>RFC destinations monitored</t>
  </si>
  <si>
    <t>Number of MAI alerts</t>
  </si>
  <si>
    <t>Number of alerts</t>
  </si>
  <si>
    <t>Number of components monitored by PI domain</t>
  </si>
  <si>
    <t>Number of PI communcation channels</t>
  </si>
  <si>
    <t>One row for system</t>
  </si>
  <si>
    <t>Number of inbound queues</t>
  </si>
  <si>
    <t>Number of outbound queues</t>
  </si>
  <si>
    <t>Number of saved inbound queues</t>
  </si>
  <si>
    <t>Number of global status variables</t>
  </si>
  <si>
    <t>Number of schemas and catalogs</t>
  </si>
  <si>
    <t>Number of monitored applications</t>
  </si>
  <si>
    <t>Number of monitored transactions (URLs)</t>
  </si>
  <si>
    <t>Number of IP addresses used by DB2 server</t>
  </si>
  <si>
    <t>Number of instances</t>
  </si>
  <si>
    <t>Number of WPARs</t>
  </si>
  <si>
    <t>Number of processors (CPU IDs)</t>
  </si>
  <si>
    <t>Number of storage pools across KVM hosts</t>
  </si>
  <si>
    <t>Number of VMs across KVM hosts</t>
  </si>
  <si>
    <t>Number of datacenters</t>
  </si>
  <si>
    <t>Number of datastores</t>
  </si>
  <si>
    <t>Number of ESX servers</t>
  </si>
  <si>
    <t>Number of virtual centers (for 1 agent, should be 1)</t>
  </si>
  <si>
    <t>Sum of datastores used across ESX servers</t>
  </si>
  <si>
    <t>Sum of datastores used across VMs</t>
  </si>
  <si>
    <t xml:space="preserve">Number of VMs </t>
  </si>
  <si>
    <t>Number of VMs in cluster</t>
  </si>
  <si>
    <t>Number of datastores in cluster</t>
  </si>
  <si>
    <t>Number of containers</t>
  </si>
  <si>
    <t>Number of EJB containers</t>
  </si>
  <si>
    <t>Number of J2EE applications across app servers</t>
  </si>
  <si>
    <t>Number of web applications across app servers</t>
  </si>
  <si>
    <t>Number of EJBs</t>
  </si>
  <si>
    <t>Number of datasources</t>
  </si>
  <si>
    <t>Number of new errors in log</t>
  </si>
  <si>
    <t>Number of messaging engines</t>
  </si>
  <si>
    <t>Number of service component elements</t>
  </si>
  <si>
    <t>Number of web service gateways</t>
  </si>
  <si>
    <t>Number of request names (URLs)</t>
  </si>
  <si>
    <t>Physical disks</t>
  </si>
  <si>
    <t>Domain_Controller_Replication</t>
  </si>
  <si>
    <t>Number of LDAP replication partners</t>
  </si>
  <si>
    <t>Replication_Partner_Latency</t>
  </si>
  <si>
    <t>K3ZDCREPL</t>
  </si>
  <si>
    <t>K3ZNTDSRLT</t>
  </si>
  <si>
    <t>QMQUEUES</t>
  </si>
  <si>
    <t>Queue Statistics</t>
  </si>
  <si>
    <t>NTLOGINFO</t>
  </si>
  <si>
    <t>NT_Monitored_Logs_Report</t>
  </si>
  <si>
    <t>Top 8 processes for 4 metrics (up to 32)</t>
  </si>
  <si>
    <t>KQEHTTPREQ</t>
  </si>
  <si>
    <t>Accounting Node Statistics</t>
  </si>
  <si>
    <t>Accounting Terminal Statistics</t>
  </si>
  <si>
    <t>KQITACND</t>
  </si>
  <si>
    <t>KQITACTR</t>
  </si>
  <si>
    <t>Number of tablespaces (top 5 space used)</t>
  </si>
  <si>
    <t>Number of databases (top 5 locklist in use)</t>
  </si>
  <si>
    <t>Garbage Collection Cycle</t>
  </si>
  <si>
    <t>KYNGCCYC</t>
  </si>
  <si>
    <t>Input parameters</t>
  </si>
  <si>
    <t>Total application activity records (AARs) per second</t>
  </si>
  <si>
    <t>v1.0 - 03/04/2015 - Original version (Monitoring 8.1.0)</t>
  </si>
  <si>
    <t>Average user transactions/second per monitored application</t>
  </si>
  <si>
    <t>Estimated data volume for MongoDB database</t>
  </si>
  <si>
    <t>Estimated data volume for Datamart database</t>
  </si>
  <si>
    <t>Average monitored components involved per transaction</t>
  </si>
  <si>
    <t>MongoDB and Datamart Database Load Projections Worksheet</t>
  </si>
  <si>
    <t>Prefetch Database Load Projections Worksheet</t>
  </si>
  <si>
    <t>Estimated data volume for Prefetch database</t>
  </si>
  <si>
    <t>v1.1 - 06/18/2015 - Updates for IBM Performance Management 8.1.1, including MongoDB and Datamart databases</t>
  </si>
  <si>
    <t>v1.2 - 10/01/2015 - Updates for IBM Performance Management 8.1.2</t>
  </si>
  <si>
    <t>KLZ_IO_Ext</t>
  </si>
  <si>
    <t>KLZIOEXT</t>
  </si>
  <si>
    <t>Q5</t>
  </si>
  <si>
    <t>KQ5_CLUSTER_SUMMARY</t>
  </si>
  <si>
    <t>KQ5_CONFIGURATION</t>
  </si>
  <si>
    <t>KQ5_DISK</t>
  </si>
  <si>
    <t>KQ5_MEMORY</t>
  </si>
  <si>
    <t>KQ5_NETWORK_PERFORMANCE</t>
  </si>
  <si>
    <t>KQ5_NETWORK_RECONNECTIONS</t>
  </si>
  <si>
    <t>KQ5_NODE_DETAILS</t>
  </si>
  <si>
    <t>KQ5_NODE_TO_ACTIVE_GROUP</t>
  </si>
  <si>
    <t>KQ5_NODES</t>
  </si>
  <si>
    <t>KQ5_NODETOACTIVE_GROUP_DETAILS</t>
  </si>
  <si>
    <t>KQ5_RESOURCE_GROUP_TO_RESOURCE</t>
  </si>
  <si>
    <t>KQ5_RESOURCE_GROUPS</t>
  </si>
  <si>
    <t>KQ5_RESOURCE_TO_DEPENDENT_RESOURCE</t>
  </si>
  <si>
    <t>KQ5_RESOURCES</t>
  </si>
  <si>
    <t>KQ5_SHARED_STORAGE_SUMMARY</t>
  </si>
  <si>
    <t>KQ5CLUSUM</t>
  </si>
  <si>
    <t>KQ5B05PHYS</t>
  </si>
  <si>
    <t>KQ5D80HDD</t>
  </si>
  <si>
    <t>KQ5D60MEM</t>
  </si>
  <si>
    <t>KQ5F40NET</t>
  </si>
  <si>
    <t>KQ5NWRECON</t>
  </si>
  <si>
    <t>KQ5NODDETL</t>
  </si>
  <si>
    <t>KQ5B20LOGI</t>
  </si>
  <si>
    <t>KQ5D20NODE</t>
  </si>
  <si>
    <t>KQ5NTAGRPP</t>
  </si>
  <si>
    <t>KQ5B25LOGI</t>
  </si>
  <si>
    <t>KQ5B10RG</t>
  </si>
  <si>
    <t>KQ5B25RTDR</t>
  </si>
  <si>
    <t>KQ5C20RES</t>
  </si>
  <si>
    <t>KQ5CSVSUMM</t>
  </si>
  <si>
    <t>Microsoft Cluster Server</t>
  </si>
  <si>
    <t>Number of disks across all nodes</t>
  </si>
  <si>
    <t>Number of nodes</t>
  </si>
  <si>
    <t>Number of reconnections</t>
  </si>
  <si>
    <t>Number of resource groups</t>
  </si>
  <si>
    <t>Number of shared storage paths</t>
  </si>
  <si>
    <t>KQE_HTTP_OPERATION_LEVEL_DATA</t>
  </si>
  <si>
    <t>QP</t>
  </si>
  <si>
    <t>KQP_AVAILABILITY</t>
  </si>
  <si>
    <t>KQP_DATABASE</t>
  </si>
  <si>
    <t>KQP_HEALTH_ANALYZER</t>
  </si>
  <si>
    <t>KQP_HEALTH_BUCKET</t>
  </si>
  <si>
    <t>KQP_SERVER_SUMMARY</t>
  </si>
  <si>
    <t>KQP_SERVICE_APPLICATION</t>
  </si>
  <si>
    <t>KQP_SERVICE_APPLICATION_DETAILS</t>
  </si>
  <si>
    <t>KQP_SHAREPOINT_COMPONENTS</t>
  </si>
  <si>
    <t>KQP_SHAREPOINT_DATABASES</t>
  </si>
  <si>
    <t>KQP_WEB_APPLICATION_DETAILS</t>
  </si>
  <si>
    <t>KQP_WEB_SERVER</t>
  </si>
  <si>
    <t>KQP_WEB_SERVICE</t>
  </si>
  <si>
    <t>KQPAVAIL</t>
  </si>
  <si>
    <t>KQPSHAREP8</t>
  </si>
  <si>
    <t>KQPHLTHANA</t>
  </si>
  <si>
    <t>KQPHLTHBKT</t>
  </si>
  <si>
    <t>KQPSERVSUM</t>
  </si>
  <si>
    <t>KQPSERVAPP</t>
  </si>
  <si>
    <t>KQPWSERVAP</t>
  </si>
  <si>
    <t>KQPSPPVER</t>
  </si>
  <si>
    <t>KQPSPJODBS</t>
  </si>
  <si>
    <t>KQPWEBAPPD</t>
  </si>
  <si>
    <t>KQPWEBSERV</t>
  </si>
  <si>
    <t>KQPWEBIISA</t>
  </si>
  <si>
    <t>Number of application processes or services</t>
  </si>
  <si>
    <t>Number of SharePoint IIS servers</t>
  </si>
  <si>
    <t>WRT Agent Details</t>
  </si>
  <si>
    <t>T5AGNTDTS</t>
  </si>
  <si>
    <t>DB2_Slow_SQL_Stmts</t>
  </si>
  <si>
    <t>KUD_DB2_Application00</t>
  </si>
  <si>
    <t>KUD_DB2_Buffer_Pool</t>
  </si>
  <si>
    <t>KUD_DB2_HADR</t>
  </si>
  <si>
    <t>KUDSLSQL00</t>
  </si>
  <si>
    <t>KUDAPPL00</t>
  </si>
  <si>
    <t>KUDBPOOL</t>
  </si>
  <si>
    <t>KUDDB2HADR</t>
  </si>
  <si>
    <t>V6</t>
  </si>
  <si>
    <t>KV6_CHASSIS_HEALTH_SUMMARY</t>
  </si>
  <si>
    <t>KV6_CHASSIS_IO_MODULE_HEALTH_SUMMARY</t>
  </si>
  <si>
    <t>KV6_CHASSIS_POWER_STATISTICS</t>
  </si>
  <si>
    <t>KV6_FAULTS</t>
  </si>
  <si>
    <t>KV6_FEX_ENVIRONMENT_STATISTICS</t>
  </si>
  <si>
    <t>KV6_FEX_HEALTH_SUMMARY</t>
  </si>
  <si>
    <t>KV6_FEX_IO_MODULE_HEALTH_SUMMARY</t>
  </si>
  <si>
    <t>KV6_FEX_PSU_ENVIRONMENT_STATISTICS</t>
  </si>
  <si>
    <t>KV6_FI_FIXED_EXPANSION_PORT_HEALTH</t>
  </si>
  <si>
    <t>KV6_FI_HEALTH_SUMMARY</t>
  </si>
  <si>
    <t>KV6_FI_LAN_PORT_CHANNEL_AGGREGATE_STATISTICS</t>
  </si>
  <si>
    <t>KV6_FI_LAN_STATISTICS</t>
  </si>
  <si>
    <t>KV6_FI_SAN_PORT_CHANNEL_AGGREGATE_STATISTICS</t>
  </si>
  <si>
    <t>KV6_FI_SAN_STATISTICS</t>
  </si>
  <si>
    <t>KV6_FI_SYSTEM_STATISTICS</t>
  </si>
  <si>
    <t>KV6_FI_TEMPERATURE_STATISTICS</t>
  </si>
  <si>
    <t>KV6_RM_SERVER_ADAPTER_HEALTH_SUMMARY</t>
  </si>
  <si>
    <t>KV6_RM_SERVER_CPU_HEALTH_SUMMARY</t>
  </si>
  <si>
    <t>KV6_RM_SERVER_FAN_MODULE_HEALTH</t>
  </si>
  <si>
    <t>KV6_RM_SERVER_HEALTH_SUMMARY</t>
  </si>
  <si>
    <t>KV6_RM_SERVER_MEMORY_ARRAY_HEALTH</t>
  </si>
  <si>
    <t>KV6_RM_SERVER_MOTHERBOARD_HEALTH</t>
  </si>
  <si>
    <t>KV6_RM_SERVER_MOTHERBOARD_POWER</t>
  </si>
  <si>
    <t>KV6_RM_SERVER_PSU_HEALTH_SUMMARY</t>
  </si>
  <si>
    <t>KV6_SERVER_ADAPTER_HEALTH_SUMMARY</t>
  </si>
  <si>
    <t>KV6_SERVER_CPU_HEALTH_SUMMARY</t>
  </si>
  <si>
    <t>KV6_SERVER_DISK_HEALTH_SUMMARY</t>
  </si>
  <si>
    <t>KV6_SERVER_HEALTH_SUMMARY</t>
  </si>
  <si>
    <t>KV6_SERVER_MEMORY_ARRAY_UNIT_HEALTH</t>
  </si>
  <si>
    <t>KV6_SERVER_MOTHERBOARD_HEALTH</t>
  </si>
  <si>
    <t>KV6_SERVER_MOTHERBOARD_POWER</t>
  </si>
  <si>
    <t>KV6_SERVER_STORAGE_CONTROLLER_HEALTH</t>
  </si>
  <si>
    <t>KV6CHASSD</t>
  </si>
  <si>
    <t>KV6CHIOHSM</t>
  </si>
  <si>
    <t>KV6CHPOWER</t>
  </si>
  <si>
    <t>KV6FAULTS</t>
  </si>
  <si>
    <t>KV6FEXENVR</t>
  </si>
  <si>
    <t>KV6FEXHELH</t>
  </si>
  <si>
    <t>KV6FIOHLTH</t>
  </si>
  <si>
    <t>KV6FPSUENV</t>
  </si>
  <si>
    <t>KV6FIXPORT</t>
  </si>
  <si>
    <t>KV6FIHESUM</t>
  </si>
  <si>
    <t>KV6LANPCAG</t>
  </si>
  <si>
    <t>KV6LANSTAT</t>
  </si>
  <si>
    <t>KV6SANPCAG</t>
  </si>
  <si>
    <t>KV6SANSTAT</t>
  </si>
  <si>
    <t>KV6FSYSTEM</t>
  </si>
  <si>
    <t>KV6FITMPST</t>
  </si>
  <si>
    <t>KV6RMADPTR</t>
  </si>
  <si>
    <t>KV6RCKMCPU</t>
  </si>
  <si>
    <t>KV6RMFANMD</t>
  </si>
  <si>
    <t>KV6RACMONT</t>
  </si>
  <si>
    <t>KV6MMARYUN</t>
  </si>
  <si>
    <t>KV6MTHRBRD</t>
  </si>
  <si>
    <t>KV6RMMOTHB</t>
  </si>
  <si>
    <t>KV6RMPSUHL</t>
  </si>
  <si>
    <t>KV6INCHESM</t>
  </si>
  <si>
    <t>KV6CPUHESM</t>
  </si>
  <si>
    <t>KV6DSKHESM</t>
  </si>
  <si>
    <t>KV6BLSHESM</t>
  </si>
  <si>
    <t>KV6MEAHESM</t>
  </si>
  <si>
    <t>KV6MOTHESM</t>
  </si>
  <si>
    <t>KV6MBPOWST</t>
  </si>
  <si>
    <t>KV6STCHESM</t>
  </si>
  <si>
    <t>Servlet Sessions</t>
  </si>
  <si>
    <t>KYNSERVS</t>
  </si>
  <si>
    <t>Microsoft SharePoint Server</t>
  </si>
  <si>
    <t>Cisco UCS</t>
  </si>
  <si>
    <t>Maximum number of alarms expected in 24 hours</t>
  </si>
  <si>
    <t>KBN_HYPERVISOR</t>
  </si>
  <si>
    <t>KBN_TCPSUMMARY</t>
  </si>
  <si>
    <t>KBN_TCPTABLE</t>
  </si>
  <si>
    <t>KBNHYPERV</t>
  </si>
  <si>
    <t>KBNTCPSUMM</t>
  </si>
  <si>
    <t>KBNTCPTABL</t>
  </si>
  <si>
    <t>H8</t>
  </si>
  <si>
    <t>KH8_CLUSTEROVERVIEW</t>
  </si>
  <si>
    <t>KH8_DATANODE</t>
  </si>
  <si>
    <t>KH8_FSNAMESYSTEM</t>
  </si>
  <si>
    <t>KH8_HOSTS_NODES</t>
  </si>
  <si>
    <t>KH8_JVMMETRICS</t>
  </si>
  <si>
    <t>KH8_QUEUEMETRICS</t>
  </si>
  <si>
    <t>KH8_RPC</t>
  </si>
  <si>
    <t>KH8CLUSTE0</t>
  </si>
  <si>
    <t>KH8DATANOD</t>
  </si>
  <si>
    <t>KH8FSNAMES</t>
  </si>
  <si>
    <t>KH8HOSDS</t>
  </si>
  <si>
    <t>KH8JVMMETR</t>
  </si>
  <si>
    <t>KH8QUEUEME</t>
  </si>
  <si>
    <t>KH8RPC</t>
  </si>
  <si>
    <t>Klz_LFAProfiles</t>
  </si>
  <si>
    <t>Klz_Log_File_Status</t>
  </si>
  <si>
    <t>Klz_LogfileProfileEvents</t>
  </si>
  <si>
    <t>KLZLFAPFLS</t>
  </si>
  <si>
    <t>KLZLOGFST</t>
  </si>
  <si>
    <t>KLZLOGPEVT</t>
  </si>
  <si>
    <t>Knt_LFAProfiles</t>
  </si>
  <si>
    <t>Knt_Log_File_Status</t>
  </si>
  <si>
    <t>Knt_LogfileProfileEvents</t>
  </si>
  <si>
    <t>KNTLFAPFLS</t>
  </si>
  <si>
    <t>KNTLOGFST</t>
  </si>
  <si>
    <t>KNTLOGPEVT</t>
  </si>
  <si>
    <t>KPH_FC_STATS</t>
  </si>
  <si>
    <t>KPH_HARDWARE_EVENTS</t>
  </si>
  <si>
    <t>KPH_NETWORK_MAPPINGS</t>
  </si>
  <si>
    <t>KPH_NPIV_MAPPINGS</t>
  </si>
  <si>
    <t>KPH_PHYSICAL_VOLUME</t>
  </si>
  <si>
    <t>KPH_SHARED_ETHERNET_ADAPTER</t>
  </si>
  <si>
    <t>KPH_STORAGE_MAPPINGS</t>
  </si>
  <si>
    <t>KPH_VIOS_DETAILS</t>
  </si>
  <si>
    <t>KPHFCSTATS</t>
  </si>
  <si>
    <t>KPHHDWEVNT</t>
  </si>
  <si>
    <t>KPHNETMAP</t>
  </si>
  <si>
    <t>KPHNPIVMAP</t>
  </si>
  <si>
    <t>KPHPHYSICA</t>
  </si>
  <si>
    <t>KPHSEA</t>
  </si>
  <si>
    <t>KPHSTRGMAP</t>
  </si>
  <si>
    <t>KPHVIOSSRV</t>
  </si>
  <si>
    <t>QL</t>
  </si>
  <si>
    <t>KQL_AVAILABILITY</t>
  </si>
  <si>
    <t>KQL_CDR_SERVICE_WRITE</t>
  </si>
  <si>
    <t>KQL_GLOBAL_COUNTERS</t>
  </si>
  <si>
    <t>KQL_GLOBAL_GATEWAY_COUNTERS</t>
  </si>
  <si>
    <t>KQL_HEALTH_INDICES</t>
  </si>
  <si>
    <t>KQL_IM_CONFERENCING</t>
  </si>
  <si>
    <t>KQL_IM_MCU_STATE_AND_PERFORMANCE</t>
  </si>
  <si>
    <t>KQL_INSTANT_MESSAGING</t>
  </si>
  <si>
    <t>KQL_LS_MEDIATIONSERVER_MEDIA_RELAY</t>
  </si>
  <si>
    <t>KQL_LYNC_PORTDETAILS</t>
  </si>
  <si>
    <t>KQL_SIP_PEERS</t>
  </si>
  <si>
    <t>KQL_SIP_PROTOCOLS</t>
  </si>
  <si>
    <t>KQL_SYNTHETIC_COMMANDS</t>
  </si>
  <si>
    <t>KQL_USER_SERVICES_DBSTORE</t>
  </si>
  <si>
    <t>KQL_USER_SHAREDDBSTORE</t>
  </si>
  <si>
    <t>KQLAVAIL</t>
  </si>
  <si>
    <t>KQLCDRWRIZ</t>
  </si>
  <si>
    <t>KQLLSMEDIA</t>
  </si>
  <si>
    <t>KQLLSMEDI0</t>
  </si>
  <si>
    <t>KQLLSMEDI1</t>
  </si>
  <si>
    <t>KQLIMCONFZ</t>
  </si>
  <si>
    <t>KQLIMMCUHZ</t>
  </si>
  <si>
    <t>KQLINSTMSZ</t>
  </si>
  <si>
    <t>KQLLSMEDI2</t>
  </si>
  <si>
    <t>KQLCDPTBLE</t>
  </si>
  <si>
    <t>KQLSIPEERZ</t>
  </si>
  <si>
    <t>KQLSIPPRLZ</t>
  </si>
  <si>
    <t>KQLSYNTEST</t>
  </si>
  <si>
    <t>KQLUSRVDBZ</t>
  </si>
  <si>
    <t>KQLLSUSRVS</t>
  </si>
  <si>
    <t>S7</t>
  </si>
  <si>
    <t>KS7_ACTIVE_TRANSACTION</t>
  </si>
  <si>
    <t>KS7_BLOCKED_TRANSACTION</t>
  </si>
  <si>
    <t>KS7_BLOCKED_TRANSACTION_SUB</t>
  </si>
  <si>
    <t>KS7_CACHE_INFORMATION_SUB</t>
  </si>
  <si>
    <t>KS7_CONNECTIONS_INFORMATION</t>
  </si>
  <si>
    <t>KS7_CURRENT_ALERTS</t>
  </si>
  <si>
    <t>KS7_DATABASE_INFORMATION</t>
  </si>
  <si>
    <t>KS7_DISK_USAGE</t>
  </si>
  <si>
    <t>KS7_EXPENSIVE_STATEMENTS</t>
  </si>
  <si>
    <t>KS7_EXPENSIVE_STATEMENTS_SUB</t>
  </si>
  <si>
    <t>KS7_GARBAGE_COLLECTION_STATS</t>
  </si>
  <si>
    <t>KS7_HOST_INFORMATION</t>
  </si>
  <si>
    <t>KS7_HOST_INFORMATION_SUB</t>
  </si>
  <si>
    <t>KS7_HOST_RESOURCE_UTILIZATION</t>
  </si>
  <si>
    <t>KS7_LICENSE_INFORMATION</t>
  </si>
  <si>
    <t>KS7_LOCK_INFORMATION</t>
  </si>
  <si>
    <t>KS7_LONG_IDLE_CURSOR</t>
  </si>
  <si>
    <t>KS7_SERVICE_NETWORK_IO</t>
  </si>
  <si>
    <t>KS7_SERVICE_STATISTICS</t>
  </si>
  <si>
    <t>KS7_SYSTEM_DATABASE</t>
  </si>
  <si>
    <t>KS7_SYSTEM_INFORMATION</t>
  </si>
  <si>
    <t>KS7_TABLE_SIZE_INFORMATION</t>
  </si>
  <si>
    <t>KS7_WORKLOAD_INFORMATION_SUB</t>
  </si>
  <si>
    <t>KS7TXNINFO</t>
  </si>
  <si>
    <t>KS7TRBLCK</t>
  </si>
  <si>
    <t>KS7TRBLCK1</t>
  </si>
  <si>
    <t>KS7CACHE1</t>
  </si>
  <si>
    <t>KS7CONINFO</t>
  </si>
  <si>
    <t>KS7CURALRT</t>
  </si>
  <si>
    <t>KS7DBINFO</t>
  </si>
  <si>
    <t>KS7DISKUSE</t>
  </si>
  <si>
    <t>KS7EXPSTMT</t>
  </si>
  <si>
    <t>KS7EXSTMT1</t>
  </si>
  <si>
    <t>KS7GBGSTAT</t>
  </si>
  <si>
    <t>KS7HOSTINF</t>
  </si>
  <si>
    <t>KS7HOSTSUB</t>
  </si>
  <si>
    <t>KS7RESUTI</t>
  </si>
  <si>
    <t>KS7LICINF</t>
  </si>
  <si>
    <t>KS7LOKINFO</t>
  </si>
  <si>
    <t>KS7IDLECSR</t>
  </si>
  <si>
    <t>KS7SRVCIO</t>
  </si>
  <si>
    <t>KS7SERSTAT</t>
  </si>
  <si>
    <t>KS7SYSDB</t>
  </si>
  <si>
    <t>KS7SYSINFO</t>
  </si>
  <si>
    <t>KS7TBLINFO</t>
  </si>
  <si>
    <t>KS7DBWKLD1</t>
  </si>
  <si>
    <t>SN</t>
  </si>
  <si>
    <t>KSN_LOCATION</t>
  </si>
  <si>
    <t>KSNLOCATIO</t>
  </si>
  <si>
    <t>KUDRESIZ</t>
  </si>
  <si>
    <t>Kux_LFAProfiles</t>
  </si>
  <si>
    <t>Kux_Log_File_Status</t>
  </si>
  <si>
    <t>Kux_LogfileProfileEvents</t>
  </si>
  <si>
    <t>KUXLFAPFLS</t>
  </si>
  <si>
    <t>KUXLOGFST</t>
  </si>
  <si>
    <t>KUXLOGPEVT</t>
  </si>
  <si>
    <t>VD</t>
  </si>
  <si>
    <t>KVD_APPLICATION_CONNECTION_SUMMARY</t>
  </si>
  <si>
    <t>KVD_APPLICATION_RESOURCE_INFORMATION</t>
  </si>
  <si>
    <t>KVD_CATALOG_AVERAGE_LOAD_INDEX_SUMMARY</t>
  </si>
  <si>
    <t>KVD_CATALOG_CONNECTION_SUMMARY</t>
  </si>
  <si>
    <t>KVD_CATALOG_RESOURCE_INFORMATION</t>
  </si>
  <si>
    <t>KVD_DDC_MACHINE_EVENTS</t>
  </si>
  <si>
    <t>KVD_DDC_MACHINE_RESOURCE_INFORMATION</t>
  </si>
  <si>
    <t>KVD_DELIVERY_GROUP_AVERAGE_LOAD_INDEX_SUMMARY</t>
  </si>
  <si>
    <t>KVD_DELIVERY_GROUP_CONNECTION_SUMMARY</t>
  </si>
  <si>
    <t>KVD_DELIVERY_GROUP_RESOURCE_INFORMATION</t>
  </si>
  <si>
    <t>KVD_DESKTOP_CONNECTION_SUMMARY</t>
  </si>
  <si>
    <t>KVD_DESKTOP_RESOURCE_INFORMATION</t>
  </si>
  <si>
    <t>KVD_HYPERVISOR_AVERAGE_LOAD_INDEX_SUMMARY</t>
  </si>
  <si>
    <t>KVD_HYPERVISOR_CONNECTION_SUMMARY</t>
  </si>
  <si>
    <t>KVD_HYPERVISOR_RESOURCE_INFORMATION</t>
  </si>
  <si>
    <t>KVD_RESOURCE_COUNTS</t>
  </si>
  <si>
    <t>KVD_SESSION_CONNECTION_DETAILS</t>
  </si>
  <si>
    <t>KVD_SITE_AVERAGE_LOAD_INDEX_SUMMARY</t>
  </si>
  <si>
    <t>KVD_SITE_EVENTS</t>
  </si>
  <si>
    <t>KVD_SITE_SESS_CONN_STATE_CNT_SUM</t>
  </si>
  <si>
    <t>KVD_SITE_SESSION_COUNT_SUMMARY</t>
  </si>
  <si>
    <t>KVD_USER_RESOURCE_INFORMATION</t>
  </si>
  <si>
    <t>KVD_VDA_MACHINE_CONNECTION_SUMMARY</t>
  </si>
  <si>
    <t>KVD_VDA_MACHINE_EVENTS</t>
  </si>
  <si>
    <t>KVD_VDA_MACHINE_LOAD_INDEX_SUMMARY</t>
  </si>
  <si>
    <t>KVD_VDA_MACHINE_RESOURCE_INFORMATION</t>
  </si>
  <si>
    <t>KVD_XENDESKTOP_RESOURCE_PROPERTIES</t>
  </si>
  <si>
    <t>KVDXDACS51</t>
  </si>
  <si>
    <t>KVDXDARI47</t>
  </si>
  <si>
    <t>KVDXDCAL27</t>
  </si>
  <si>
    <t>KVDXDCCS30</t>
  </si>
  <si>
    <t>KVDXDCRI26</t>
  </si>
  <si>
    <t>KVDXDDME24</t>
  </si>
  <si>
    <t>KVDXDDMR23</t>
  </si>
  <si>
    <t>KVDXDDGA34</t>
  </si>
  <si>
    <t>KVDXDDGC37</t>
  </si>
  <si>
    <t>KVDXDDGR33</t>
  </si>
  <si>
    <t>KVDXDDCS59</t>
  </si>
  <si>
    <t>KVDXDDRI55</t>
  </si>
  <si>
    <t>KVDXDHAL41</t>
  </si>
  <si>
    <t>KVDXDHCS44</t>
  </si>
  <si>
    <t>KVDXDHRI40</t>
  </si>
  <si>
    <t>KVDRC7</t>
  </si>
  <si>
    <t>KVDXDSS03</t>
  </si>
  <si>
    <t>KVDALIS8</t>
  </si>
  <si>
    <t>KVDXDSE13</t>
  </si>
  <si>
    <t>KVDSCSCS10</t>
  </si>
  <si>
    <t>KVDSCS9</t>
  </si>
  <si>
    <t>KVDXDUS02</t>
  </si>
  <si>
    <t>KVDXDVMC19</t>
  </si>
  <si>
    <t>KVDXDVME21</t>
  </si>
  <si>
    <t>KVDLIS16</t>
  </si>
  <si>
    <t>KVDXDVMR15</t>
  </si>
  <si>
    <t>KVDRP2</t>
  </si>
  <si>
    <t>KVM_CLUSTERED_SERVERS</t>
  </si>
  <si>
    <t>KVM_SERVER_NETWORK</t>
  </si>
  <si>
    <t>KVM_TRIGGERED_ALARMS</t>
  </si>
  <si>
    <t>KVM_VM_DISK_PERFORMANCE</t>
  </si>
  <si>
    <t>KVM_VM_NETWORK</t>
  </si>
  <si>
    <t>KVMCLTRSRV</t>
  </si>
  <si>
    <t>KVMSERVERN</t>
  </si>
  <si>
    <t>KVMALARMS</t>
  </si>
  <si>
    <t>KVMVMDKPRF</t>
  </si>
  <si>
    <t>KVMVM_NET</t>
  </si>
  <si>
    <t>WB</t>
  </si>
  <si>
    <t>KWB_APPLICATION</t>
  </si>
  <si>
    <t>KWB_JDBCCONNECTIONPOOL</t>
  </si>
  <si>
    <t>KWB_JMSSERVER</t>
  </si>
  <si>
    <t>KWB_JVMRUNTIME</t>
  </si>
  <si>
    <t>KWB_LOG</t>
  </si>
  <si>
    <t>KWB_OPERATINGSYSTEM</t>
  </si>
  <si>
    <t>KWB_SERVER</t>
  </si>
  <si>
    <t>KWB_SERVLET</t>
  </si>
  <si>
    <t>KWB_THREADPOOL</t>
  </si>
  <si>
    <t>KWB_WEBSERVICE</t>
  </si>
  <si>
    <t>KWBAPPLICA</t>
  </si>
  <si>
    <t>KWBJDBCCON</t>
  </si>
  <si>
    <t>KWBJMSSERV</t>
  </si>
  <si>
    <t>KWBJVMRUNT</t>
  </si>
  <si>
    <t>KWBLOG</t>
  </si>
  <si>
    <t>KWBOPERATI</t>
  </si>
  <si>
    <t>KWBSERVER</t>
  </si>
  <si>
    <t>KWBSERVLET</t>
  </si>
  <si>
    <t>KWBTHREADP</t>
  </si>
  <si>
    <t>KWBWEBSERV</t>
  </si>
  <si>
    <t>Hadoop</t>
  </si>
  <si>
    <t>Microsoft Lync Server</t>
  </si>
  <si>
    <t>SAP HANA Database</t>
  </si>
  <si>
    <t>Synthetic Playback</t>
  </si>
  <si>
    <t>Citrix VDI</t>
  </si>
  <si>
    <t>Number of TCP connections</t>
  </si>
  <si>
    <t>Number of LFA profiles</t>
  </si>
  <si>
    <t>Number of log files being monitored</t>
  </si>
  <si>
    <t xml:space="preserve">Number of new events </t>
  </si>
  <si>
    <t>Number of fiber channel ports</t>
  </si>
  <si>
    <t>Number of volumes</t>
  </si>
  <si>
    <t>Number of LPARs</t>
  </si>
  <si>
    <t>Number of VIOS network mappings</t>
  </si>
  <si>
    <t>Number of virtual fiber channels being mapped</t>
  </si>
  <si>
    <t>Number of VIOS virtual networks</t>
  </si>
  <si>
    <t>Number of VIOS virtual SCSI devices</t>
  </si>
  <si>
    <t xml:space="preserve">Number of VIOS </t>
  </si>
  <si>
    <t>One row per location</t>
  </si>
  <si>
    <t>Number of ESX servers in cluster</t>
  </si>
  <si>
    <t>Number of VM network interfaces</t>
  </si>
  <si>
    <t>Number of VM disks</t>
  </si>
  <si>
    <t>Number of ESX server network interfaces</t>
  </si>
  <si>
    <t>One row for the cluster monitored by the agent</t>
  </si>
  <si>
    <t>Number of Applications hosted on this node</t>
  </si>
  <si>
    <t>Number of JDBC Connection Pools</t>
  </si>
  <si>
    <t>Number of JMS servers hosted</t>
  </si>
  <si>
    <t xml:space="preserve">Number of Servlets running on this node </t>
  </si>
  <si>
    <t>Number of webservices running on this node</t>
  </si>
  <si>
    <t>Number of garbage collectors running</t>
  </si>
  <si>
    <t>Number of JVM runtimes</t>
  </si>
  <si>
    <t>Number of Server Log runtimes</t>
  </si>
  <si>
    <t>Number of OS runtimes</t>
  </si>
  <si>
    <t>Number of Server Runtimes</t>
  </si>
  <si>
    <t>Number of threadpools</t>
  </si>
  <si>
    <t>Number of Applications</t>
  </si>
  <si>
    <t>Number of Catalogs</t>
  </si>
  <si>
    <t>Sum of events reported by Desktop Delivery Controllers</t>
  </si>
  <si>
    <t>Number of Desktop Delivery Controllers</t>
  </si>
  <si>
    <t>Number of delivery groups</t>
  </si>
  <si>
    <t>Number of desktops</t>
  </si>
  <si>
    <t>Number of hypervisors</t>
  </si>
  <si>
    <t>Number of XenDesktop/XenApp sites</t>
  </si>
  <si>
    <t>Number of concurrent sessions connected to XenDesktop</t>
  </si>
  <si>
    <t>Sum of events reported by XenDesktop sites</t>
  </si>
  <si>
    <t>Number of unique users who have ever logged into XenDesktop</t>
  </si>
  <si>
    <t>Number of Virtual Desktop Agents</t>
  </si>
  <si>
    <t>Sum of events reported by Virtual Desktop Agents</t>
  </si>
  <si>
    <t>v1.3 - 04/19/2016 - Updates for IBM Performance Management 8.1.3</t>
  </si>
  <si>
    <t>Number of V8 agents</t>
  </si>
  <si>
    <t>Number of V6/V7 agents</t>
  </si>
  <si>
    <t>Number of channels defined</t>
  </si>
  <si>
    <t xml:space="preserve">Number of current channel instances </t>
  </si>
  <si>
    <t>Number of events in event queues</t>
  </si>
  <si>
    <t>One row per queue manager (=1 on distributed platforms)</t>
  </si>
  <si>
    <t xml:space="preserve">Number of queues </t>
  </si>
  <si>
    <t>Number of message flows for all brokers monitored by agent</t>
  </si>
  <si>
    <t xml:space="preserve">Number of nodes in all monitored message flows </t>
  </si>
  <si>
    <t>Number of brokers on host system monitored by agent</t>
  </si>
  <si>
    <t>Number of execution groups for all brokers monitored by agent</t>
  </si>
  <si>
    <t>4 times Number of execution groups (previous line)</t>
  </si>
  <si>
    <t>Queues per queue manager (small &lt;=200, medium &lt; 2000, large &lt; 5000, extra large &gt; 5000)</t>
  </si>
  <si>
    <t>Number of tables monitored by agent</t>
  </si>
  <si>
    <t>If node statistics enabled, number of nodes in all monitored message flows; otherwise, zero.</t>
  </si>
  <si>
    <t>Terminal statistics enabled? (0=no, 1=yes)</t>
  </si>
  <si>
    <t>If terminal statistics enabled, ~4 times number of nodes</t>
  </si>
  <si>
    <t>Application servers per agent</t>
  </si>
  <si>
    <t>Servlets/JSPs monitored by agent</t>
  </si>
  <si>
    <t>EJBs monitored by agent</t>
  </si>
  <si>
    <t>Size parameter description</t>
  </si>
  <si>
    <t>Tuxedo</t>
  </si>
  <si>
    <t>B5</t>
  </si>
  <si>
    <t>Amazon EC2</t>
  </si>
  <si>
    <t>KB5_AWS_REGION_HEALTH</t>
  </si>
  <si>
    <t>KB5_CPU_PER_INSTANCE</t>
  </si>
  <si>
    <t>KB5_CW_ALL_INSTANCES</t>
  </si>
  <si>
    <t>KB5_CW_DISK_PER_INSTANCE</t>
  </si>
  <si>
    <t>KB5_CW_EBS_PER_INSTANCE</t>
  </si>
  <si>
    <t>KB5_CW_NET_PER_INSTANCE</t>
  </si>
  <si>
    <t>KB5_INSTANCE_DETAILS</t>
  </si>
  <si>
    <t>KB5_SECURITY_GROUPS</t>
  </si>
  <si>
    <t>KB5_TAGS</t>
  </si>
  <si>
    <t>KB5AWSRHEA</t>
  </si>
  <si>
    <t>KB5CPUPERI</t>
  </si>
  <si>
    <t>KB5CWALLIN</t>
  </si>
  <si>
    <t>KB5CWDISKP</t>
  </si>
  <si>
    <t>KB5CWEBSPE</t>
  </si>
  <si>
    <t>KB5CWNETPE</t>
  </si>
  <si>
    <t>KB5INSTANC</t>
  </si>
  <si>
    <t>KB5SECURIT</t>
  </si>
  <si>
    <t>KB5TAGS</t>
  </si>
  <si>
    <t>KLZ_Docker_CPU</t>
  </si>
  <si>
    <t>KLZ_Docker_Info</t>
  </si>
  <si>
    <t>KLZ_Docker_IO</t>
  </si>
  <si>
    <t>KLZ_Docker_Memory</t>
  </si>
  <si>
    <t>KLZ_Docker_Network</t>
  </si>
  <si>
    <t>KLZ_Docker_Processes</t>
  </si>
  <si>
    <t>KLZ_Docker_Stat</t>
  </si>
  <si>
    <t>KLZ_Docker_Version</t>
  </si>
  <si>
    <t>KLZDCKCPU</t>
  </si>
  <si>
    <t>KLZDCKINF</t>
  </si>
  <si>
    <t>KLZDCKIO</t>
  </si>
  <si>
    <t>KLZDCKMEM</t>
  </si>
  <si>
    <t>KLZDCKNET</t>
  </si>
  <si>
    <t>KLZDCKPRC</t>
  </si>
  <si>
    <t>KLZDCKSTAT</t>
  </si>
  <si>
    <t>KLZDCKVER</t>
  </si>
  <si>
    <t>KUD_Tablespace_Auto_Resize</t>
  </si>
  <si>
    <t>KV1_CLUSTERS</t>
  </si>
  <si>
    <t>KV1_HOST_CPU</t>
  </si>
  <si>
    <t>KV1_HOST_MEMORY</t>
  </si>
  <si>
    <t>KV1_HOST_NETWORKS</t>
  </si>
  <si>
    <t>KV1_VIRTUAL_MACHINE_DISK_PERF</t>
  </si>
  <si>
    <t>KV1_VIRTUAL_MACHINE_NETWORKS</t>
  </si>
  <si>
    <t>KV1CLUSTER</t>
  </si>
  <si>
    <t>KV1HOSTCG</t>
  </si>
  <si>
    <t>KV1HOSTMG</t>
  </si>
  <si>
    <t>KV1HOSTNWG</t>
  </si>
  <si>
    <t>KV1VMDPAG</t>
  </si>
  <si>
    <t>KV1VMNWG</t>
  </si>
  <si>
    <t>KVD_DDC_MACHINE_WINDOWS_EVENT_LOG_EVENTS</t>
  </si>
  <si>
    <t>KVD_VDA_MACHINE_WINDOWS_EVENT_LOG_EVENTS</t>
  </si>
  <si>
    <t>KVDXDDDCWE</t>
  </si>
  <si>
    <t>KVDXDVDAWE</t>
  </si>
  <si>
    <t>ADFS_Proxy</t>
  </si>
  <si>
    <t>ADFS</t>
  </si>
  <si>
    <t>K3ZADFSPSR</t>
  </si>
  <si>
    <t>K3ZADFSPSD</t>
  </si>
  <si>
    <t>KBN_MQQUEUEMANAGERS</t>
  </si>
  <si>
    <t>KBNMQQM</t>
  </si>
  <si>
    <t>KJE_DATASOURCE</t>
  </si>
  <si>
    <t>KJEDATASRC</t>
  </si>
  <si>
    <t>Number of data sources</t>
  </si>
  <si>
    <t>KKJ_LOCKS</t>
  </si>
  <si>
    <t>KKJ_MMAPV1_DETAILS</t>
  </si>
  <si>
    <t>KKJ_MONGODB_LOCKS</t>
  </si>
  <si>
    <t>KKJ_WIREDTIGER_DETAILS</t>
  </si>
  <si>
    <t>KKJLOCK</t>
  </si>
  <si>
    <t>KKJSTORAGM</t>
  </si>
  <si>
    <t>KKJDBLOCKN</t>
  </si>
  <si>
    <t>KKJSTORAGW</t>
  </si>
  <si>
    <t>MS_SQL_Expensive_Query_Plans</t>
  </si>
  <si>
    <t>KOQEXPQP</t>
  </si>
  <si>
    <t>KQE_DATABASE_CALL_DETAILS</t>
  </si>
  <si>
    <t>KQE_DATABASE_CALL_SUMMARY</t>
  </si>
  <si>
    <t>KQE_NET_CLR_JIT</t>
  </si>
  <si>
    <t>KQE_NET_CLR_THREADS</t>
  </si>
  <si>
    <t>KQEDBCALLS</t>
  </si>
  <si>
    <t>KQEDBSUMM</t>
  </si>
  <si>
    <t>KQENETCLRJ</t>
  </si>
  <si>
    <t>KQENETCLR0</t>
  </si>
  <si>
    <t>KRZ_RDB_ASM_DISK</t>
  </si>
  <si>
    <t>KRZ_RDB_ASM_DISKIOSTAT</t>
  </si>
  <si>
    <t>KRZ_RDB_GCS_BLOCK_LOST</t>
  </si>
  <si>
    <t>KRZ_RDB_GCS_CR_LATENCY</t>
  </si>
  <si>
    <t>KRZ_RDB_GES_LATENCY</t>
  </si>
  <si>
    <t>KRZ_RDB_LOCK_STATISTICS</t>
  </si>
  <si>
    <t>KRZ_RDB_PROCESS_DETAIL</t>
  </si>
  <si>
    <t>KRZ_RDB_PROCESS_SUMMARY</t>
  </si>
  <si>
    <t>KRZ_RDB_TABLESPACE_OVERVIEW</t>
  </si>
  <si>
    <t>KRZ_RDB_TABLESPACETEMP_USAGE</t>
  </si>
  <si>
    <t>KRZ_RDB_TOP_SQL</t>
  </si>
  <si>
    <t>KRZ_RDB_TSFILE_METRIC</t>
  </si>
  <si>
    <t>KRZRAMDISK</t>
  </si>
  <si>
    <t>KRZRAMDKIO</t>
  </si>
  <si>
    <t>KRZGCSBLO</t>
  </si>
  <si>
    <t>KRZGCSCRL</t>
  </si>
  <si>
    <t>KRZGESLAT</t>
  </si>
  <si>
    <t>KRZRDBLS</t>
  </si>
  <si>
    <t>KRZRDBPROD</t>
  </si>
  <si>
    <t>KRZRDBPROS</t>
  </si>
  <si>
    <t>KRZTSOVEW</t>
  </si>
  <si>
    <t>KRZTSTPUE</t>
  </si>
  <si>
    <t>KRZTOPSQL</t>
  </si>
  <si>
    <t>KRZTSFMTC</t>
  </si>
  <si>
    <t>SV</t>
  </si>
  <si>
    <t>KSV_NETWEAVER_CLUSTER_HEAP</t>
  </si>
  <si>
    <t>KSV_NETWEAVER_CONFIGURATION_MANAGER</t>
  </si>
  <si>
    <t>KSV_NETWEAVER_INSTANCE_HEAP</t>
  </si>
  <si>
    <t>KSV_NETWEAVER_J2EE_CLUSTER</t>
  </si>
  <si>
    <t>KSV_NETWEAVER_J2EE_INSTANCE</t>
  </si>
  <si>
    <t>KSV_NETWEAVER_J2EE_INSTANCE_SUB</t>
  </si>
  <si>
    <t>KSV_NETWEAVER_JVM_DATA_SOURCE</t>
  </si>
  <si>
    <t>KSV_NETWEAVER_JVM_FAILED_APPLICATIONS</t>
  </si>
  <si>
    <t>KSV_NETWEAVER_JVM_GCPROBLEM_REPORTING</t>
  </si>
  <si>
    <t>KSV_NETWEAVER_JVM_LOGGED_IN_USERS</t>
  </si>
  <si>
    <t>KSV_NETWEAVER_JVM_WEB_CONTAINER</t>
  </si>
  <si>
    <t>KSV_NETWEAVER_LICENSE_INFORMATION</t>
  </si>
  <si>
    <t>KSV_NETWEAVER_RESOURCE_UTILIZAION</t>
  </si>
  <si>
    <t>KSV_NETWEAVER_TRANSACTION_SERVICES</t>
  </si>
  <si>
    <t>KSV_NETWEAVER_USER_SESSION_MANAGEMENT</t>
  </si>
  <si>
    <t>SAP NetWeaver Java Stack</t>
  </si>
  <si>
    <t>KSVCLSTHDT</t>
  </si>
  <si>
    <t>KSVCNFMGDT</t>
  </si>
  <si>
    <t>KSVINSTHDT</t>
  </si>
  <si>
    <t>KSVCLUSTER</t>
  </si>
  <si>
    <t>KSVJ2EEINS</t>
  </si>
  <si>
    <t>KSVJ2EINSS</t>
  </si>
  <si>
    <t>KSVDATASOU</t>
  </si>
  <si>
    <t>KSVFLAPLDT</t>
  </si>
  <si>
    <t>KSVNWGCREP</t>
  </si>
  <si>
    <t>KSVSESUSER</t>
  </si>
  <si>
    <t>KSVWEBCONT</t>
  </si>
  <si>
    <t>KSVLICINFO</t>
  </si>
  <si>
    <t>KSVRESUTI</t>
  </si>
  <si>
    <t>KSVTRNINFO</t>
  </si>
  <si>
    <t>KSVSESSMNT</t>
  </si>
  <si>
    <t>KV1_DISKS</t>
  </si>
  <si>
    <t>KV1_DISKS_SNAPSHOT</t>
  </si>
  <si>
    <t>KV1DISKS</t>
  </si>
  <si>
    <t>KV1DSNAP</t>
  </si>
  <si>
    <t>ADFSALL</t>
  </si>
  <si>
    <t>GPO</t>
  </si>
  <si>
    <t>NETLOGON_Attributes</t>
  </si>
  <si>
    <t>Local_Security_Authority</t>
  </si>
  <si>
    <t>K3ZADFSPXD</t>
  </si>
  <si>
    <t>K3ZNTDSGPO</t>
  </si>
  <si>
    <t>K3ZNTDSLSA</t>
  </si>
  <si>
    <t>K3ZNTLGON</t>
  </si>
  <si>
    <t>NU</t>
  </si>
  <si>
    <t>KNU_AGGREGATES</t>
  </si>
  <si>
    <t>KNU_CLUSTER_NODE</t>
  </si>
  <si>
    <t>KNU_DISKS</t>
  </si>
  <si>
    <t>KNU_VOLUMES</t>
  </si>
  <si>
    <t>KNU02AGREG</t>
  </si>
  <si>
    <t>KNU09CLSND</t>
  </si>
  <si>
    <t>KNU05DISK</t>
  </si>
  <si>
    <t>KNU03VOL</t>
  </si>
  <si>
    <t>NetApp Storage</t>
  </si>
  <si>
    <t>KPNLOCKSF</t>
  </si>
  <si>
    <t>Number of queues / 20</t>
  </si>
  <si>
    <t>Address_Book</t>
  </si>
  <si>
    <t>DFS</t>
  </si>
  <si>
    <t>Event_Log</t>
  </si>
  <si>
    <t>File_Replication_Service</t>
  </si>
  <si>
    <t>LDAP_Attributes</t>
  </si>
  <si>
    <t>Moved_Or_Deleted_Organizational_Unit</t>
  </si>
  <si>
    <t>Password_Setting_Objects</t>
  </si>
  <si>
    <t>Replication</t>
  </si>
  <si>
    <t>Security_Accounts_Manager</t>
  </si>
  <si>
    <t>Services</t>
  </si>
  <si>
    <t>K3ZNTDSAB</t>
  </si>
  <si>
    <t>K3ZNTDSDFS</t>
  </si>
  <si>
    <t>K3ZEVTLOG</t>
  </si>
  <si>
    <t>K3ZNTDSFRS</t>
  </si>
  <si>
    <t>K3ZNTDSLDA</t>
  </si>
  <si>
    <t>K3ZOU</t>
  </si>
  <si>
    <t>K3ZNTDSPSO</t>
  </si>
  <si>
    <t>K3ZNTDSDRA</t>
  </si>
  <si>
    <t>K3ZNTDSSAM</t>
  </si>
  <si>
    <t>K3ZNTDSSVC</t>
  </si>
  <si>
    <t>Number of new events per interval</t>
  </si>
  <si>
    <t>Number of group policy objects</t>
  </si>
  <si>
    <t>Number of organization unit changes</t>
  </si>
  <si>
    <t>Number of Netlogon instances</t>
  </si>
  <si>
    <t>Number of password setting objects</t>
  </si>
  <si>
    <t>Number of services on NT server</t>
  </si>
  <si>
    <t>MSEREACH</t>
  </si>
  <si>
    <t>MS_Exchange_Reachability</t>
  </si>
  <si>
    <t>KJESERVLT2</t>
  </si>
  <si>
    <t>KJESV2RUNT</t>
  </si>
  <si>
    <t>MO</t>
  </si>
  <si>
    <t>KMO_AUDIO_CALL_QUALITY_INBOUND</t>
  </si>
  <si>
    <t>KMO_EXCHANGE_ONLINE_INACTIVE_USERS</t>
  </si>
  <si>
    <t>KMO_INSTANT_MESSAGE_QUALITY</t>
  </si>
  <si>
    <t>KMO_INTERNET_CONNECTION</t>
  </si>
  <si>
    <t>KMO_MAILBOX_REACHABILITY</t>
  </si>
  <si>
    <t>KMO_MAILBOX_STORAGE_STATISTICS</t>
  </si>
  <si>
    <t>KMO_NETWORK_PERFORMANCE</t>
  </si>
  <si>
    <t>KMO_OFFICE365_INACTIVE_USERS</t>
  </si>
  <si>
    <t>KMO_OFFICE365URL_STATUS</t>
  </si>
  <si>
    <t>KMO_ONEDRIVE_CONNECTIVITY</t>
  </si>
  <si>
    <t>KMO_ONEDRIVE_INACTIVE_USERS</t>
  </si>
  <si>
    <t>KMO_ONEDRIVE_STORAGE_STATISTICS</t>
  </si>
  <si>
    <t>KMO_PRESENTATION_VIEWER_QUALITY</t>
  </si>
  <si>
    <t>KMO_SERVICE_FEATURES</t>
  </si>
  <si>
    <t>KMO_SERVICE_HEALTH</t>
  </si>
  <si>
    <t>KMO_SERVICE_INCIDENTS</t>
  </si>
  <si>
    <t>KMO_SERVICE_RESPONSE_TIME</t>
  </si>
  <si>
    <t>KMO_SHAREPOINT_SITE_COLLECTION</t>
  </si>
  <si>
    <t>KMO_SHAREPOINT_SITES</t>
  </si>
  <si>
    <t>KMO_SKYPE_CONFERENCE_DETAILS</t>
  </si>
  <si>
    <t>KMO_SKYPE_FOR_BUSINESS_INACTIVE_USERS</t>
  </si>
  <si>
    <t>KMO_SKYPE_P2P_SESSION_DETAILS</t>
  </si>
  <si>
    <t>KMO_TENANT_DETAILS</t>
  </si>
  <si>
    <t>KMO_TENANT_SERVICES</t>
  </si>
  <si>
    <t>KMO_TOP_MAILBOX_USAGE_USERS</t>
  </si>
  <si>
    <t>KMO_TOP_ONEDRIVE_USAGE_USERS</t>
  </si>
  <si>
    <t>KMO_VIDEO_CALL_QUALITY_INBOUND</t>
  </si>
  <si>
    <t>KMOAUDIOCA</t>
  </si>
  <si>
    <t>KMOEXCICUS</t>
  </si>
  <si>
    <t>KMOINSTANT</t>
  </si>
  <si>
    <t>KMOINTERNE</t>
  </si>
  <si>
    <t>KMOMAILBOX</t>
  </si>
  <si>
    <t>KMOMAILBO0</t>
  </si>
  <si>
    <t>KMONETWORK</t>
  </si>
  <si>
    <t>KMOUESOOPL</t>
  </si>
  <si>
    <t>KMOOFFICE3</t>
  </si>
  <si>
    <t>KMOONEDRIV</t>
  </si>
  <si>
    <t>KMOUIKLOPL</t>
  </si>
  <si>
    <t>KMOONEDRI0</t>
  </si>
  <si>
    <t>KMOPRESEN0</t>
  </si>
  <si>
    <t>KMOSERVIC0</t>
  </si>
  <si>
    <t>KMOSERVICE</t>
  </si>
  <si>
    <t>KMOSERVIC1</t>
  </si>
  <si>
    <t>KMOSERVIC2</t>
  </si>
  <si>
    <t>KMOSHAREPO</t>
  </si>
  <si>
    <t>KMOSHAREP0</t>
  </si>
  <si>
    <t>KMOCSCONFE</t>
  </si>
  <si>
    <t>KMOSBUICUS</t>
  </si>
  <si>
    <t>KMOCSP2PSE</t>
  </si>
  <si>
    <t>KMOSUBSCRI</t>
  </si>
  <si>
    <t>KMOOCLOOPL</t>
  </si>
  <si>
    <t>KMOTOPMAIL</t>
  </si>
  <si>
    <t>KMOTOPONED</t>
  </si>
  <si>
    <t>KMOVIDEOC0</t>
  </si>
  <si>
    <t>Microsoft Office 365</t>
  </si>
  <si>
    <t>KNJ_EVENTLOOP</t>
  </si>
  <si>
    <t>KNJ_GC</t>
  </si>
  <si>
    <t>KNJ_LOOP</t>
  </si>
  <si>
    <t>KNJELOOP</t>
  </si>
  <si>
    <t>KNJGC</t>
  </si>
  <si>
    <t>KNJLOOP</t>
  </si>
  <si>
    <t>KNU_EVENTS</t>
  </si>
  <si>
    <t>KNU10EVNT</t>
  </si>
  <si>
    <t>KPN_LOCKS_FILTER</t>
  </si>
  <si>
    <t>KSV_NETWEAVER_USER_SESSION_MANAGEMENT_INS</t>
  </si>
  <si>
    <t>KSVSESMNT</t>
  </si>
  <si>
    <t>UY</t>
  </si>
  <si>
    <t>KUY_AVAILABILITY</t>
  </si>
  <si>
    <t>KUY_COMP_AVAIL</t>
  </si>
  <si>
    <t>KUY_COMPLOGS</t>
  </si>
  <si>
    <t>KUY_COMPSTATS</t>
  </si>
  <si>
    <t>KUY_GWLOG</t>
  </si>
  <si>
    <t>KUY_PROCESS</t>
  </si>
  <si>
    <t>KUY_SERVER</t>
  </si>
  <si>
    <t>KUY_SERVER_AVAIL</t>
  </si>
  <si>
    <t>KUY_SERVER_POBJST</t>
  </si>
  <si>
    <t>KUY_SERVERLOG</t>
  </si>
  <si>
    <t>KUY_STATS</t>
  </si>
  <si>
    <t>KUY_TASKDETAIL</t>
  </si>
  <si>
    <t>KUY_TASKSUMMARY</t>
  </si>
  <si>
    <t>KUY_USERCOMP</t>
  </si>
  <si>
    <t>KUY_USRSESSSUM</t>
  </si>
  <si>
    <t>Siebel</t>
  </si>
  <si>
    <t>KUYAVAIL</t>
  </si>
  <si>
    <t>KUYCMPAVL</t>
  </si>
  <si>
    <t>KUYCOMPLOG</t>
  </si>
  <si>
    <t>KUYCOMPSTS</t>
  </si>
  <si>
    <t>KUYGWLOGS</t>
  </si>
  <si>
    <t>KUYPROCESS</t>
  </si>
  <si>
    <t>KUYSERVER</t>
  </si>
  <si>
    <t>KUYAVGCPU</t>
  </si>
  <si>
    <t>KUYSRVPOS</t>
  </si>
  <si>
    <t>KUYSRVLOG</t>
  </si>
  <si>
    <t>KUYSTATS</t>
  </si>
  <si>
    <t>KUYTASKDET</t>
  </si>
  <si>
    <t>KUYTASKSUM</t>
  </si>
  <si>
    <t>KUYUSRCOMP</t>
  </si>
  <si>
    <t>KUYUSRSSUM</t>
  </si>
  <si>
    <t>ZC</t>
  </si>
  <si>
    <t>Cassandra</t>
  </si>
  <si>
    <t>KZC_CLUSTERDETAILS</t>
  </si>
  <si>
    <t>KZC_COLUMNFAMILYDETAILS</t>
  </si>
  <si>
    <t>KZC_KEYSPACEDETAILS</t>
  </si>
  <si>
    <t>KZC_MEMORYUSAGEDETAILS</t>
  </si>
  <si>
    <t>KZC_NODECACHEDETAILS</t>
  </si>
  <si>
    <t>KZC_NODECOMMITLOGDETAILS</t>
  </si>
  <si>
    <t>KZC_NODECOMPACTIONDETAILS</t>
  </si>
  <si>
    <t>KZC_NODESTATISTICS</t>
  </si>
  <si>
    <t>KZC_THREADPOOL</t>
  </si>
  <si>
    <t>KZCCLUSTER</t>
  </si>
  <si>
    <t>KZCCOLUMNF</t>
  </si>
  <si>
    <t>KZCKEYSPAC</t>
  </si>
  <si>
    <t>KZCMEMORYU</t>
  </si>
  <si>
    <t>KZCNODECAC</t>
  </si>
  <si>
    <t>KZCNODECO0</t>
  </si>
  <si>
    <t>KZCNODECOM</t>
  </si>
  <si>
    <t>KZCNODESTA</t>
  </si>
  <si>
    <t>KZCTHREADP</t>
  </si>
  <si>
    <t>RabbitMQ</t>
  </si>
  <si>
    <t>ZR</t>
  </si>
  <si>
    <t>KZR_CHANNEL_DETAILS</t>
  </si>
  <si>
    <t>KZR_CLUSTER_CONFIG_INFO</t>
  </si>
  <si>
    <t>KZR_NODE_INFORMATION</t>
  </si>
  <si>
    <t>KZR_QUEUE_DETAILS</t>
  </si>
  <si>
    <t>KZR_RABBITMQ_CLUSTER_STATUS</t>
  </si>
  <si>
    <t>KZRCHANNEL</t>
  </si>
  <si>
    <t>KZRCLUSTER</t>
  </si>
  <si>
    <t>KZRNODEINF</t>
  </si>
  <si>
    <t>KZRQUEUEDE</t>
  </si>
  <si>
    <t>KZRRABBITM</t>
  </si>
  <si>
    <t>Total table rows</t>
  </si>
  <si>
    <t>Total table size (MB)</t>
  </si>
  <si>
    <t>Filesystems</t>
  </si>
  <si>
    <t>Number of servlet sessions across app servers</t>
  </si>
  <si>
    <t>Number of servlets/JSPs across apps servers</t>
  </si>
  <si>
    <t>BI</t>
  </si>
  <si>
    <t>KBI_APPINFO</t>
  </si>
  <si>
    <t>KBI_APPLICATIONSTATUS</t>
  </si>
  <si>
    <t>KBI_APPSERVERSTATS</t>
  </si>
  <si>
    <t>KBI_CONNPOOLSTATS</t>
  </si>
  <si>
    <t>KBI_GCSTATS</t>
  </si>
  <si>
    <t>KBI_HTTPREQ</t>
  </si>
  <si>
    <t>KBI_J2SEGCSTATS</t>
  </si>
  <si>
    <t>KBI_J2SEJVMNIO</t>
  </si>
  <si>
    <t>KBI_J2SEJVMSTATS</t>
  </si>
  <si>
    <t>KBI_J2SEMEMORY</t>
  </si>
  <si>
    <t>KBI_J2SEREQUESTANALYSIS</t>
  </si>
  <si>
    <t>KBI_J2SESLOWESTAPPMODULES</t>
  </si>
  <si>
    <t>KBI_J2SETHREAD</t>
  </si>
  <si>
    <t>KBI_NODEJSAPPINFO2</t>
  </si>
  <si>
    <t>KBI_NODEJSEVENTLOOPLATENCY</t>
  </si>
  <si>
    <t>KBI_NODEJSEVENTLOOPTICK</t>
  </si>
  <si>
    <t>KBI_NODEJSGCSTATS</t>
  </si>
  <si>
    <t>KBI_PYTHONAPPINFO</t>
  </si>
  <si>
    <t>KBI_PYTHONGCOBJECT</t>
  </si>
  <si>
    <t>KBI_PYTHONGCRES</t>
  </si>
  <si>
    <t>KBI_PYTHONGCSTATS</t>
  </si>
  <si>
    <t>KBI_PYTHONHTTPREQ</t>
  </si>
  <si>
    <t>KBI_PYTHONSTACKTRACE</t>
  </si>
  <si>
    <t>KBI_PYTHONTHREAD0</t>
  </si>
  <si>
    <t>KBI_PYTHONTHREADD</t>
  </si>
  <si>
    <t>KBI_PYTHONUNCOLLECTABLEOBJECTS</t>
  </si>
  <si>
    <t>KBI_REQUEST_ANALYSIS</t>
  </si>
  <si>
    <t>KBI_RUBYRESOURCESUMMARY</t>
  </si>
  <si>
    <t>KBI_RUBYTOPTRAFFIC</t>
  </si>
  <si>
    <t>KBI_RUBYTOTALMEMORYUSAGE</t>
  </si>
  <si>
    <t>KBI_RUBYTRAFFICSUMMARY</t>
  </si>
  <si>
    <t>KBI_SLOWESTAPPMODULES</t>
  </si>
  <si>
    <t>KBI_THREADPOOLSTATS</t>
  </si>
  <si>
    <t>KBIAPPINFO</t>
  </si>
  <si>
    <t>KBIAPPLICA</t>
  </si>
  <si>
    <t>KBIAPSRV</t>
  </si>
  <si>
    <t>KBIDBCONP</t>
  </si>
  <si>
    <t>KBIGCACT</t>
  </si>
  <si>
    <t>KBIHTTPREQ</t>
  </si>
  <si>
    <t>KBIJ2GCST</t>
  </si>
  <si>
    <t>KBIJ2NIO</t>
  </si>
  <si>
    <t>KBIJ2JVMST</t>
  </si>
  <si>
    <t>KBIJ2MEMRY</t>
  </si>
  <si>
    <t>KBIJ2REQST</t>
  </si>
  <si>
    <t>KBIJ2MODUL</t>
  </si>
  <si>
    <t>KBIJ2THRST</t>
  </si>
  <si>
    <t>KBIAPPINF2</t>
  </si>
  <si>
    <t>KBINJELOOP</t>
  </si>
  <si>
    <t>KBINJLOOP</t>
  </si>
  <si>
    <t>KBINJGC</t>
  </si>
  <si>
    <t>KBIPYAPPI</t>
  </si>
  <si>
    <t>KBIPYGCOBJ</t>
  </si>
  <si>
    <t>KBIPYGCRES</t>
  </si>
  <si>
    <t>KBIPYGCSTA</t>
  </si>
  <si>
    <t>KBIPYHTTPR</t>
  </si>
  <si>
    <t>KBIPYSTKTR</t>
  </si>
  <si>
    <t>KBIPYTHR0</t>
  </si>
  <si>
    <t>KBIPYTHRDD</t>
  </si>
  <si>
    <t>KBIPYUNCOL</t>
  </si>
  <si>
    <t>KBIREQUEST</t>
  </si>
  <si>
    <t>KBIRBYPROC</t>
  </si>
  <si>
    <t>KBIRBYPATH</t>
  </si>
  <si>
    <t>KBIRBYTMEM</t>
  </si>
  <si>
    <t>KBIRBYTRAF</t>
  </si>
  <si>
    <t>KBIMODUL</t>
  </si>
  <si>
    <t>KBITHRDP</t>
  </si>
  <si>
    <t>KQL_CALL_QUALITY_DISTRIBUTION</t>
  </si>
  <si>
    <t>KQL_FAILED_USER_COUNT</t>
  </si>
  <si>
    <t>KQL_FAILURE_SUMMARY</t>
  </si>
  <si>
    <t>KQL_FRONTEND_CONNECTIVITY_DETAILS</t>
  </si>
  <si>
    <t>KQL_QOEMETRICS_SERVER_SUMMARY</t>
  </si>
  <si>
    <t>KQL_SERVER_FAILURE_COUNT</t>
  </si>
  <si>
    <t>KQL_TOP_5_ACTIVE_USERS</t>
  </si>
  <si>
    <t>KQL_USAGE_SUMMARY</t>
  </si>
  <si>
    <t>KQLTBLCQDS</t>
  </si>
  <si>
    <t>KQLTBLFUSC</t>
  </si>
  <si>
    <t>KQLTBLFSUM</t>
  </si>
  <si>
    <t>KQLTBLFSCN</t>
  </si>
  <si>
    <t>KQLTBLQOEM</t>
  </si>
  <si>
    <t>KQLLCSCDR0</t>
  </si>
  <si>
    <t>KQLTTP5ACT</t>
  </si>
  <si>
    <t>KQLTBLUSUM</t>
  </si>
  <si>
    <t>KVD_SESSION_RESOURCE_JOIN_SESSION_CONN</t>
  </si>
  <si>
    <t>KVD_SITE_RESOURCE_INFORMATION</t>
  </si>
  <si>
    <t>KVD_VDA_MACHINE_JOIN_ALL</t>
  </si>
  <si>
    <t>KVDXDSRSC</t>
  </si>
  <si>
    <t>KVDRI6</t>
  </si>
  <si>
    <t>KVDVDAALL</t>
  </si>
  <si>
    <t>KH8_OOZIE</t>
  </si>
  <si>
    <t>KH8_SERVICESOVERVIEW</t>
  </si>
  <si>
    <t>KH8_ZOOKEEPER</t>
  </si>
  <si>
    <t>KH8OOZIESE</t>
  </si>
  <si>
    <t>KH8SERVICE</t>
  </si>
  <si>
    <t>KH8ZOOKEEP</t>
  </si>
  <si>
    <t>KJE_CONNECTIONSTATS</t>
  </si>
  <si>
    <t>KJE_MEMORYPOOLSUM</t>
  </si>
  <si>
    <t>KJE_SERVLET2</t>
  </si>
  <si>
    <t>KJE_SERVLET2_RUNTIME</t>
  </si>
  <si>
    <t>KJECONSTAT</t>
  </si>
  <si>
    <t>KJEMEMPSUM</t>
  </si>
  <si>
    <t>KNU08CLST</t>
  </si>
  <si>
    <t>KNU04LUN</t>
  </si>
  <si>
    <t>KNU07VSR</t>
  </si>
  <si>
    <t>KSEAPPAVL1</t>
  </si>
  <si>
    <t>KWBCONSTAT</t>
  </si>
  <si>
    <t>KWBGARBAGS</t>
  </si>
  <si>
    <t>KWBMEMPSUM</t>
  </si>
  <si>
    <t>DB Row Length</t>
  </si>
  <si>
    <t>Aggr Row Length</t>
  </si>
  <si>
    <t>Rows / Interval</t>
  </si>
  <si>
    <t>Raw Retention Period</t>
  </si>
  <si>
    <t>A4</t>
  </si>
  <si>
    <t>i5OS_Auxiliary_Storage_Pool</t>
  </si>
  <si>
    <t>i5OS_Disk</t>
  </si>
  <si>
    <t>i5OS_Miscellaneous</t>
  </si>
  <si>
    <t>i5OS_System_Statistics</t>
  </si>
  <si>
    <t>i5OS_TCPIP_Logical_Interface</t>
  </si>
  <si>
    <t>OS400_Job</t>
  </si>
  <si>
    <t>OS400_Storage_Pool</t>
  </si>
  <si>
    <t>OS400_System_Status</t>
  </si>
  <si>
    <t>OS400_System_Values</t>
  </si>
  <si>
    <t>KA4ASP</t>
  </si>
  <si>
    <t>KA4DISKI5</t>
  </si>
  <si>
    <t>KA4MISC</t>
  </si>
  <si>
    <t>KA4SYSSTAT</t>
  </si>
  <si>
    <t>KA4TCPINT</t>
  </si>
  <si>
    <t>KA4PFJOB</t>
  </si>
  <si>
    <t>KA4POOL</t>
  </si>
  <si>
    <t>KA4SYSTS</t>
  </si>
  <si>
    <t>KA4SVAL</t>
  </si>
  <si>
    <t>KBI_GARBAGE_COLLECTION_CYCLE</t>
  </si>
  <si>
    <t>KBI_REQUEST_TIMES_AND_RATES</t>
  </si>
  <si>
    <t>KBI_THREADPOOLSDETAIL</t>
  </si>
  <si>
    <t>KBI_WEB_APPLICATIONS</t>
  </si>
  <si>
    <t>KBI_WEB_SERVICE</t>
  </si>
  <si>
    <t>KBI_WEB_SERVICE_GATEWAY</t>
  </si>
  <si>
    <t>KBIGCCYC</t>
  </si>
  <si>
    <t>KBIREQHIS</t>
  </si>
  <si>
    <t>KBITPD</t>
  </si>
  <si>
    <t>KBIAPP</t>
  </si>
  <si>
    <t>KBIWEBSVC</t>
  </si>
  <si>
    <t>KBIWEBSGW</t>
  </si>
  <si>
    <t>KH8_AMBARIMETRICS</t>
  </si>
  <si>
    <t>KH8_HDFS</t>
  </si>
  <si>
    <t>KH8_HIVE</t>
  </si>
  <si>
    <t>KH8_SQOOP</t>
  </si>
  <si>
    <t>KH8_YARN</t>
  </si>
  <si>
    <t>KH8AMBARIS</t>
  </si>
  <si>
    <t>KH8HDFSSER</t>
  </si>
  <si>
    <t>KH8HIVESER</t>
  </si>
  <si>
    <t>KH8SQOOPSE</t>
  </si>
  <si>
    <t>KH8YARNSER</t>
  </si>
  <si>
    <t>Channel Long-Term History</t>
  </si>
  <si>
    <t>Queue Long-Term History</t>
  </si>
  <si>
    <t>QMCH_LH</t>
  </si>
  <si>
    <t>QMQ_LH</t>
  </si>
  <si>
    <t>KNU_CLUSTERS</t>
  </si>
  <si>
    <t>KNU_LUNS</t>
  </si>
  <si>
    <t>KNU_VSERVER</t>
  </si>
  <si>
    <t>KSE_APPLICATION_AVAILABILITY</t>
  </si>
  <si>
    <t>SG</t>
  </si>
  <si>
    <t>OpenStack</t>
  </si>
  <si>
    <t>KSG_ACCOUNT_STATISTICS</t>
  </si>
  <si>
    <t>KSG_API_DETAILS</t>
  </si>
  <si>
    <t>KSG_API_STATUS_SUMMARY</t>
  </si>
  <si>
    <t>KSG_ENVIRONMENT_SUMMARY</t>
  </si>
  <si>
    <t>KSG_FLAVORS</t>
  </si>
  <si>
    <t>KSG_HYPERVISORS</t>
  </si>
  <si>
    <t>KSG_IMAGES</t>
  </si>
  <si>
    <t>KSG_OBJECT_CONTAINERS</t>
  </si>
  <si>
    <t>KSG_OBJECTS</t>
  </si>
  <si>
    <t>KSG_PROCESS_DETAILS</t>
  </si>
  <si>
    <t>KSG_PROCESS_SUMMARY</t>
  </si>
  <si>
    <t>KSG_PROCESS_SUMMARY_BY_HOST</t>
  </si>
  <si>
    <t>KSG_REGION_SUMMARY</t>
  </si>
  <si>
    <t>KSG_VM_DETAILS</t>
  </si>
  <si>
    <t>KSG_VOLUMES</t>
  </si>
  <si>
    <t>KSGACCOUNT</t>
  </si>
  <si>
    <t>KSGAPIDET</t>
  </si>
  <si>
    <t>KSGSERSUM</t>
  </si>
  <si>
    <t>KSGOSSUM</t>
  </si>
  <si>
    <t>KSGFLAVORR</t>
  </si>
  <si>
    <t>KSGHYPERVS</t>
  </si>
  <si>
    <t>KSGIMAGES</t>
  </si>
  <si>
    <t>KSGCONTANS</t>
  </si>
  <si>
    <t>KSGOBJECTS</t>
  </si>
  <si>
    <t>KSGPROCDET</t>
  </si>
  <si>
    <t>KSGPROCSUM</t>
  </si>
  <si>
    <t>KSGPRCHOST</t>
  </si>
  <si>
    <t>KSGREGISUM</t>
  </si>
  <si>
    <t>KSGINSTDET</t>
  </si>
  <si>
    <t>KSGVOLUMES</t>
  </si>
  <si>
    <t>KSV_NETWEAVER_REQUEST_ANALYSIS</t>
  </si>
  <si>
    <t>KSVREQANLY</t>
  </si>
  <si>
    <t>KWB_CONNECTIONSTATS</t>
  </si>
  <si>
    <t>KWB_GARBAGECOLLECTORS</t>
  </si>
  <si>
    <t>KWB_MEMORYPOOLSUM</t>
  </si>
  <si>
    <t>1 per interval</t>
  </si>
  <si>
    <t>Number of channels</t>
  </si>
  <si>
    <t>Number of nodes in cluster</t>
  </si>
  <si>
    <t>Number of column families</t>
  </si>
  <si>
    <t>Number of key spaces</t>
  </si>
  <si>
    <t>1 row per active or inactive independent ASP</t>
  </si>
  <si>
    <t>1 row per disk unit</t>
  </si>
  <si>
    <t>1 row per logical TCP/IP interface</t>
  </si>
  <si>
    <t>1 row per active system request job, group job or disconnected job</t>
  </si>
  <si>
    <t>1 row per storage pool</t>
  </si>
  <si>
    <t>Node.JS</t>
  </si>
  <si>
    <t>Liberty</t>
  </si>
  <si>
    <t>Python</t>
  </si>
  <si>
    <t>J2SE</t>
  </si>
  <si>
    <t>Number of data collectors</t>
  </si>
  <si>
    <t>Data collector type</t>
  </si>
  <si>
    <t>Total data collectors</t>
  </si>
  <si>
    <t>Number of Node.JS applications</t>
  </si>
  <si>
    <t>Number of Node.JS HTTP URL path names</t>
  </si>
  <si>
    <t>Number of Liberty datasources</t>
  </si>
  <si>
    <t>IBM Cloud Application Performance Management Database Load Projections Spreadsheet</t>
  </si>
  <si>
    <t>Number of Bluemix applications or Liberty servers</t>
  </si>
  <si>
    <t>Number of Liberty servers</t>
  </si>
  <si>
    <t>Number of JVM garbage collections</t>
  </si>
  <si>
    <t>One row perf interval</t>
  </si>
  <si>
    <t>Number of Liberty web requests grouped by web application</t>
  </si>
  <si>
    <t>Number of Liberty web requests</t>
  </si>
  <si>
    <t>Number of Liberty thread pools</t>
  </si>
  <si>
    <t>Number of Liberty web applications</t>
  </si>
  <si>
    <t>Number of Liberty web servvices</t>
  </si>
  <si>
    <t>Number of Liberty web service gateways</t>
  </si>
  <si>
    <t>Number of web service processes</t>
  </si>
  <si>
    <t>Top 5 hit count http requests</t>
  </si>
  <si>
    <t>Number of different HTTP requests</t>
  </si>
  <si>
    <t>Number of threads</t>
  </si>
  <si>
    <t>Number of uncollectable objects</t>
  </si>
  <si>
    <t>Number of HTTP requests</t>
  </si>
  <si>
    <t>Number of request paths</t>
  </si>
  <si>
    <t>Number of Python request paths</t>
  </si>
  <si>
    <t>Number of top inactive users of Exchange Online (maximum 50)</t>
  </si>
  <si>
    <t>Number of top inactive users of OneDrive for business (maximum 50)</t>
  </si>
  <si>
    <t>Number of mailbox users</t>
  </si>
  <si>
    <t>Number of service features of all Office 365 services</t>
  </si>
  <si>
    <t>Number of office 365 services</t>
  </si>
  <si>
    <t>Number of service incidents(warning and critical) currently open</t>
  </si>
  <si>
    <t>Number of top inactive users of Skype for business (maximum 50)</t>
  </si>
  <si>
    <t>Number of top mailbox users (maximum 50)</t>
  </si>
  <si>
    <t>Number of subscriptions created in Office 365 Tenant</t>
  </si>
  <si>
    <t>Number of SharePoint Sites collections created in Office 365 Tenant</t>
  </si>
  <si>
    <t>Number of SharePoint subsites created in Site Collection</t>
  </si>
  <si>
    <t>Number of Office 365 services</t>
  </si>
  <si>
    <t>Number of Skype clients configured for Skype Synthetic Transactions</t>
  </si>
  <si>
    <t>Number of inactive users for Exchange, Skype and OneDrive</t>
  </si>
  <si>
    <t>Number of Tenant services monitored</t>
  </si>
  <si>
    <t>Number of top OneDrive users (maximum 50)</t>
  </si>
  <si>
    <t>Number of aggregates</t>
  </si>
  <si>
    <t>Number of disks</t>
  </si>
  <si>
    <t>Number of LUNs</t>
  </si>
  <si>
    <t>Number Vservers</t>
  </si>
  <si>
    <t>Number of events</t>
  </si>
  <si>
    <t>Number of hosts</t>
  </si>
  <si>
    <t>Number of disk snapshots</t>
  </si>
  <si>
    <t>Number of host CPUs</t>
  </si>
  <si>
    <t>Number of hosts in cluster</t>
  </si>
  <si>
    <t>Number of host network interfaces</t>
  </si>
  <si>
    <t>Number of lync services available on server</t>
  </si>
  <si>
    <t>Number of call quality groups/ slabs in which all calls are distributed</t>
  </si>
  <si>
    <t>Most recent records showing the unique failures on the server</t>
  </si>
  <si>
    <t>Most recent records showing the failures on the server</t>
  </si>
  <si>
    <t>Number of frontend servers</t>
  </si>
  <si>
    <t>Number of gateways</t>
  </si>
  <si>
    <t>Most recent records showing the number of poor calls made by users</t>
  </si>
  <si>
    <t>Most recent records showing the total number of failed requests</t>
  </si>
  <si>
    <t>Number of SIP peers</t>
  </si>
  <si>
    <t>Synthetic command results</t>
  </si>
  <si>
    <t>Top 5 most active users</t>
  </si>
  <si>
    <t>Most recent records showing total usage of server services</t>
  </si>
  <si>
    <t>Days retained for detailed data (8=default value of 8 days, B=best practice values from agents)</t>
  </si>
  <si>
    <t>Number of Docker container CPUs</t>
  </si>
  <si>
    <t>Number of Docker containers</t>
  </si>
  <si>
    <t>Number of Docker container I/O devices</t>
  </si>
  <si>
    <t>Number of Docker container network interfaces</t>
  </si>
  <si>
    <t>Number of Docker container processes</t>
  </si>
  <si>
    <t>Number of alarms triggered during interval</t>
  </si>
  <si>
    <t>Number of faults</t>
  </si>
  <si>
    <t>Number of I/O modules</t>
  </si>
  <si>
    <t>Number of fabric interconnect fixed expansion ports</t>
  </si>
  <si>
    <t>Number of fabric interconnect LAN ports</t>
  </si>
  <si>
    <t>Number of fabric interconnect SAN ports</t>
  </si>
  <si>
    <t>Number of rack mount server adapters</t>
  </si>
  <si>
    <t>Number of rack mount servers</t>
  </si>
  <si>
    <t>Number of rack mount server CPUs</t>
  </si>
  <si>
    <t>Number of rack mount server fan modules</t>
  </si>
  <si>
    <t>Number of rack mount server PSUs</t>
  </si>
  <si>
    <t>Number of server adapters</t>
  </si>
  <si>
    <t>Number of servers</t>
  </si>
  <si>
    <t>Number of server adapter CPUs</t>
  </si>
  <si>
    <t>Number of server adapter disks</t>
  </si>
  <si>
    <t>Number of public APIs</t>
  </si>
  <si>
    <t>Number of service types</t>
  </si>
  <si>
    <t>Number of flavors</t>
  </si>
  <si>
    <t>Number of object containers</t>
  </si>
  <si>
    <t>Number of OpenStack component processes</t>
  </si>
  <si>
    <t>Number of OpenStack component servers</t>
  </si>
  <si>
    <t>Number of regions</t>
  </si>
  <si>
    <t>Number of virtual machine instances</t>
  </si>
  <si>
    <t>Number of images</t>
  </si>
  <si>
    <t>Queues</t>
  </si>
  <si>
    <t>Servlets monitored by agent</t>
  </si>
  <si>
    <t>Applications monitored by agent</t>
  </si>
  <si>
    <t>Number of Regions available to scan</t>
  </si>
  <si>
    <t>Number of Instances that are being monitored in the configured region</t>
  </si>
  <si>
    <t>Number of security groups in the configured region</t>
  </si>
  <si>
    <t>Number of tags in the configured region</t>
  </si>
  <si>
    <t>Number of instances monitored in configured region</t>
  </si>
  <si>
    <t>Number of processes per Siebel Server</t>
  </si>
  <si>
    <t>Number of Components</t>
  </si>
  <si>
    <t>Number of Components and their enabled statistics [Can be disabled]</t>
  </si>
  <si>
    <t>Number of Attribute Groups in agent xml</t>
  </si>
  <si>
    <t>Statistcs for the current Server</t>
  </si>
  <si>
    <t>Number of active tasks</t>
  </si>
  <si>
    <t>Number of Component Log messages captured [Highly variable]</t>
  </si>
  <si>
    <t>Number of Gateway Log messages captured [Highly variable]</t>
  </si>
  <si>
    <t>Log messages captured</t>
  </si>
  <si>
    <t>Number of Server Log messages [Highly variable]</t>
  </si>
  <si>
    <t>Number of active transactions</t>
  </si>
  <si>
    <t>Number of blocked transactions</t>
  </si>
  <si>
    <t>Number of cache instances</t>
  </si>
  <si>
    <t>Number of database connections</t>
  </si>
  <si>
    <t>Number of statements with execution time greater than threshold</t>
  </si>
  <si>
    <t>Number of sending services</t>
  </si>
  <si>
    <t xml:space="preserve">Number of nodes configured </t>
  </si>
  <si>
    <t>Number of DataNodes</t>
  </si>
  <si>
    <t>Number of clients and server components of HDFS installed</t>
  </si>
  <si>
    <t>Number of clients and server components of HIVE installed</t>
  </si>
  <si>
    <t>Number of nodes configured</t>
  </si>
  <si>
    <t>Number of clients and server components of AmbariMetrics</t>
  </si>
  <si>
    <t>Number of daemon processes running across all machines in cluster</t>
  </si>
  <si>
    <t>Number of clients and server components of Oozie installed</t>
  </si>
  <si>
    <t>Number of ResourceManagers (Active or Standby)</t>
  </si>
  <si>
    <t>Number of Ports opened for communicating RPC with daemon process</t>
  </si>
  <si>
    <t>Number of Ambari services which Hadoop agent monitors</t>
  </si>
  <si>
    <t>Number of Sqoop clients installed</t>
  </si>
  <si>
    <t>Number of clients and server components of YARN installed</t>
  </si>
  <si>
    <t>Number of clients and server components of Zookeeper installed</t>
  </si>
  <si>
    <t>Number of NameNodes (Active, Standby or Secondary)</t>
  </si>
  <si>
    <t>v1.4 - 07/31/2017 - Updates for IBM Cloud Application Performance Management, Private 8.1.4</t>
  </si>
  <si>
    <t>Retained days, custom value</t>
  </si>
  <si>
    <t>Retained days</t>
  </si>
  <si>
    <t>The spreadsheet results should be viewed as rough estimates, but should be useful in making configuration planning decisions and in performing sensitivity analysis and what-if exercises.  The actual disk storage required for a given monitoring configuration depends on complex interrelationships among many variables, not all of which have been, or could be, modeled.  It is the responsibility of the user to validate the spreadsheet inputs and outputs.</t>
  </si>
  <si>
    <t>THE TOOL IS PROVIDED "AS IS": IBM CORPORATION DOES NOT GUARANTEE THE PERFORMANCE OF THE TOOL OR THE RESULTS CALCULATED BY THE TOOL.</t>
  </si>
  <si>
    <t>On the PrefetchDBSummary worksheet, indicate the number of agents and data collectors of each type that will be in the environment. For agents and data collectors that can potentially write a large number of rows, the "Size parameter" can be used to reflect the value that is appropriate for the environment, which affects the projections.</t>
  </si>
  <si>
    <t>The worksheet shows the estimated disk space usage for the MongoDB and Datamart databases.</t>
  </si>
  <si>
    <t>PrefetchDBSummary-</t>
  </si>
  <si>
    <t>The PrefetchDBSummary worksheet shows the estimated results for inserts into the database (total and by agent type) and disk space usage (total and by agent type).</t>
  </si>
  <si>
    <t>PrefetchDBDetails-</t>
  </si>
  <si>
    <t>The PrefetchDBDetails worksheet is where the calculations for each agent and data collector type and their data sets (attribute groups) are performed. Default values for the inputs "Rows per Interval per Agent",  "% of VARCHAR fields trimmed",  and "% compression of DB tables" are provided based on values observed in test environments. No changes are required to the PrefetchDBDetails worksheet, but you can modify these input values to better reflect your monitored environment.</t>
  </si>
  <si>
    <t>• Input cells are shown in green</t>
  </si>
  <si>
    <t>• Calculated values are shown in yellow</t>
  </si>
  <si>
    <t>• The row lengths used for each data set are estimates only and may not reflect the actual lengths.</t>
  </si>
  <si>
    <t>• The number of rows written by each agent or data collector type can vary greatly from one environment to another.</t>
  </si>
  <si>
    <t>• As new agents, data collectors, and product releases become available, we will attempt to update the spreadsheet.</t>
  </si>
  <si>
    <t>• For instructions on using this spreadsheet, refer to the accompanying document, "Using the IBM Cloud Application Performance Management Database Load Projections Spreadsheet".</t>
  </si>
  <si>
    <t>• Questions or comments may be directed to jenningt@us.ibm.com and rzimmer@us.ibm.com</t>
  </si>
  <si>
    <t>MongoDB&amp;DatamartDB-</t>
  </si>
  <si>
    <t>On the MongoDB&amp;DatamartDB worksheet, indicate the total rate of monitored user transactions (per second) for the environment and the average number of monitored components (web server, application server, database server, etc.)  involved in the processing of transactions.</t>
  </si>
  <si>
    <t>This spreadsheet is intended as an aid in estimating the rate of row inserts and the amount of disk space required for agent and data collector metrics in the Cloud APM Prefetch database.  This spreadsheet can also aid in estimating the size of the Cloud APM MongoDB and Datamart databases.</t>
  </si>
  <si>
    <t>Data Collectors</t>
  </si>
  <si>
    <t>Microsoft Active Directory</t>
  </si>
  <si>
    <t>Microsoft SQL Server</t>
  </si>
  <si>
    <t>DataPower</t>
  </si>
  <si>
    <t>Microsoft Exchange</t>
  </si>
  <si>
    <t>Microsoft Internet Information Services</t>
  </si>
  <si>
    <t>WebSphere MQ</t>
  </si>
  <si>
    <t>Node.js</t>
  </si>
  <si>
    <t>Oracle Database</t>
  </si>
  <si>
    <t>WebLogic</t>
  </si>
  <si>
    <t>SAP Applications</t>
  </si>
  <si>
    <t>IBM Integration Bus</t>
  </si>
  <si>
    <t>Linux OS</t>
  </si>
  <si>
    <t>Linux KVM</t>
  </si>
  <si>
    <t>Unix OS</t>
  </si>
  <si>
    <t>VMware VI</t>
  </si>
  <si>
    <t>WebSphere Applications</t>
  </si>
  <si>
    <t>Windows OS</t>
  </si>
  <si>
    <t>IBM i OS</t>
  </si>
  <si>
    <t>Number of V6/V7 agents (with Hybrid Gateway)</t>
  </si>
  <si>
    <t>Response Time Monitoring</t>
  </si>
  <si>
    <t>DB2</t>
  </si>
  <si>
    <t>Number of Garbage collection algorithms that are executed</t>
  </si>
  <si>
    <t>Direct and Mapped Network I/O information</t>
  </si>
  <si>
    <t>Number of Memory pools used in the application</t>
  </si>
  <si>
    <t>Requests to the components. such as JDBC, JMS, etc.</t>
  </si>
  <si>
    <t>Number of application modules used in the application</t>
  </si>
  <si>
    <t>Number of hosts that are part of Hana Database system</t>
  </si>
  <si>
    <t>Number of hosts that are part of Hana Database system including Tenant databases if available</t>
  </si>
  <si>
    <t>Number of Active Hana system licenses</t>
  </si>
  <si>
    <t>Number of accumulated database locks</t>
  </si>
  <si>
    <t>Number of database cursors waiting for a long time</t>
  </si>
  <si>
    <t>Number of hosts used by Hana database</t>
  </si>
  <si>
    <t>Workload Statistics information</t>
  </si>
  <si>
    <t>Number of disk usage types</t>
  </si>
  <si>
    <t>Information about the respective SAP NetWeaver Instance.</t>
  </si>
  <si>
    <t>Information about the JVM of the respective instance</t>
  </si>
  <si>
    <t>Information about the  Heap of the respective instance</t>
  </si>
  <si>
    <t>Information about the Cluster</t>
  </si>
  <si>
    <t>Information of the N number of instances present in the cluster, such 
as Instance ID, SAP System Name, State Java Instance ID, System Host</t>
  </si>
  <si>
    <t>Information such as Used Connection Count, Idle Connection Count 
based on the data source</t>
  </si>
  <si>
    <t>Number of applications failed on the respective instance</t>
  </si>
  <si>
    <t>Information about the problems in GC for respective instance</t>
  </si>
  <si>
    <t>Number of users logged in for the specifc SAP NetWeaver Instance</t>
  </si>
  <si>
    <t>Information of the Web container of respective SAP NetWeaver Instance</t>
  </si>
  <si>
    <t>License information with respect to product name</t>
  </si>
  <si>
    <t>Information of the resources utilized in each instance, such as 
Memory Utilization, CPU Utilization, Used Disk Space</t>
  </si>
  <si>
    <t>Information of count of number of transactions for each transaction type</t>
  </si>
  <si>
    <t>Number of user sessions accessing the cluster</t>
  </si>
  <si>
    <t>Number of user sessions accessing the specific instance</t>
  </si>
  <si>
    <t>Information of the requests to the components, such as Servlet, jdbc, Jms, etc in the respective SAP NetWeaver Instance</t>
  </si>
  <si>
    <t>Information of the N instances present in the cluster</t>
  </si>
  <si>
    <t>v1.4.1 - 08/14/2017 - Updates for OMEGAMON 1.6 agents</t>
  </si>
  <si>
    <t>CP</t>
  </si>
  <si>
    <t>KCP_CICSPLEX_BOTTLENECK_ANALYSIS</t>
  </si>
  <si>
    <t>KCP_CICSPLEX_DB2_SUMMARY</t>
  </si>
  <si>
    <t>KCP_CICSPLEX_DBCTL_SUMMARY</t>
  </si>
  <si>
    <t>KCP_CICSPLEX_REGION_OVERVIEW</t>
  </si>
  <si>
    <t>KCP_CICSPLEX_STORAGE_ANALYSIS</t>
  </si>
  <si>
    <t>KCP_CICSPLEX_MQ_CONNECTION_DETAILS</t>
  </si>
  <si>
    <t>KCP_CICSPLEX_SERVICE_CLASS_ANALYSIS</t>
  </si>
  <si>
    <t>CICSBNA</t>
  </si>
  <si>
    <t>CICSD2S</t>
  </si>
  <si>
    <t>CICSDLS</t>
  </si>
  <si>
    <t>CICSROV</t>
  </si>
  <si>
    <t>CICSSTOR</t>
  </si>
  <si>
    <t>MQCONN</t>
  </si>
  <si>
    <t>WSS</t>
  </si>
  <si>
    <t>14 rows per interval</t>
  </si>
  <si>
    <t>One row per detected wait reason</t>
  </si>
  <si>
    <t>DP</t>
  </si>
  <si>
    <t>KDP_LOCAL_DB2_LOCK_CONFLICT</t>
  </si>
  <si>
    <t>KDP_DB2_CICS_EXCEPTIONS</t>
  </si>
  <si>
    <t>KDP_DB2_IMS_CONNECTIONS</t>
  </si>
  <si>
    <t>KDP_DB2_SRM_SUBSYSTEM</t>
  </si>
  <si>
    <t>KDP_DB2_SYSTEM_STATES</t>
  </si>
  <si>
    <t>KDP_ZOS_SYSTEM_STATISTICS</t>
  </si>
  <si>
    <t>DB2LKCONF</t>
  </si>
  <si>
    <t>DP_CI_EXCS</t>
  </si>
  <si>
    <t>DP_IM_CONN</t>
  </si>
  <si>
    <t>DP_SRM_SUB</t>
  </si>
  <si>
    <t>DP_SY_EXC</t>
  </si>
  <si>
    <t>OPERSYS</t>
  </si>
  <si>
    <t>1 row per CICS connection</t>
  </si>
  <si>
    <t>1 row per IMS connection</t>
  </si>
  <si>
    <t>DB2 UDB</t>
  </si>
  <si>
    <t>GW</t>
  </si>
  <si>
    <t>KGW_CICSTG_CICS_TS_REGION_DETAILS</t>
  </si>
  <si>
    <t>KGW_CICSTG_CICS_TS_REGIONS</t>
  </si>
  <si>
    <t>KGW_CICSTG_REGION_OVERVIEW</t>
  </si>
  <si>
    <t>KGW_CICSTG_TRANSACTION_RESPONSE_TIME_SUMMARY</t>
  </si>
  <si>
    <t>CTGCSD</t>
  </si>
  <si>
    <t>CTGCSS</t>
  </si>
  <si>
    <t>CTGROV</t>
  </si>
  <si>
    <t>CTGRTS</t>
  </si>
  <si>
    <t>One row per CICS Transaction Server region</t>
  </si>
  <si>
    <t>IP</t>
  </si>
  <si>
    <t>KIP_ADDRESS_SPACES</t>
  </si>
  <si>
    <t>KIP_DEPENDENT_REGIONS</t>
  </si>
  <si>
    <t>KIP_IMS_HEALTH</t>
  </si>
  <si>
    <t>KIP_IMS_RTA_HIGHEST_RESP_TIMES_TRANS</t>
  </si>
  <si>
    <t>ADRSPACS</t>
  </si>
  <si>
    <t>DEPREGNS</t>
  </si>
  <si>
    <t>KIPIMSHLT</t>
  </si>
  <si>
    <t>KIP_LRTXMO</t>
  </si>
  <si>
    <t>One row per dependent region</t>
  </si>
  <si>
    <t>One row per address space associated with IMS subsystem</t>
  </si>
  <si>
    <t>JJ</t>
  </si>
  <si>
    <t>KJJ_JVM_CPU</t>
  </si>
  <si>
    <t>KJJ_JVM_ENVIRONMENT_DATA</t>
  </si>
  <si>
    <t>KJJ_JVM_GARBAGE_COLLECTION</t>
  </si>
  <si>
    <t>KJJ_JVM_HEALTH_SUMMARY</t>
  </si>
  <si>
    <t>KJJ_JVM_OVERVIEW</t>
  </si>
  <si>
    <t>KJJ_JVM_REQUEST_DETAILS</t>
  </si>
  <si>
    <t>KJJ_JVM_REQUEST_SUMMARY</t>
  </si>
  <si>
    <t>CPU</t>
  </si>
  <si>
    <t>ENVIRON</t>
  </si>
  <si>
    <t>GCSUMM</t>
  </si>
  <si>
    <t>HEALTH</t>
  </si>
  <si>
    <t>OVERVIEW</t>
  </si>
  <si>
    <t>TXDETL</t>
  </si>
  <si>
    <t>TXSUMM</t>
  </si>
  <si>
    <t>One row per JVM</t>
  </si>
  <si>
    <t>M5</t>
  </si>
  <si>
    <t>OMEGAMON XE for z/OS</t>
  </si>
  <si>
    <t>OMEGAMON XE for IMS</t>
  </si>
  <si>
    <t>OMEGAMON XE for CICS</t>
  </si>
  <si>
    <t>OMEGAMON XE for DB2 for z/OS</t>
  </si>
  <si>
    <t>OMEGAMON XE for CICS TG</t>
  </si>
  <si>
    <t>OMEGAMON XE for JVM</t>
  </si>
  <si>
    <t>OMEGAMON XE for DB2 on z/OS</t>
  </si>
  <si>
    <t>KM5_ADDRESS_SPACE_SUMMARY</t>
  </si>
  <si>
    <t>KM5_COMMON_STORAGE</t>
  </si>
  <si>
    <t>KM5_LICENSE_MANAGER_MSU_WLM_CAP</t>
  </si>
  <si>
    <t>KM5_HOST_CONFIGURATION</t>
  </si>
  <si>
    <t>KM5_SYSTEM_PAGING_ACTIVITY</t>
  </si>
  <si>
    <t>KM5_REAL_STORAGE</t>
  </si>
  <si>
    <t>KM5_SYSTEM_CPU_UTILIZATION</t>
  </si>
  <si>
    <t>ASSUMRY</t>
  </si>
  <si>
    <t>COMSTOR</t>
  </si>
  <si>
    <t>KM5MSUCAP</t>
  </si>
  <si>
    <t>MSYSCFG</t>
  </si>
  <si>
    <t>PAGING</t>
  </si>
  <si>
    <t>REALSTOR</t>
  </si>
  <si>
    <t>SYSCPUUTIL</t>
  </si>
  <si>
    <t>Four rows per interval - one per storage area (CSA, ECSA, SQA and ESQA)</t>
  </si>
  <si>
    <t>Copyright IBM Corp. 2018</t>
  </si>
  <si>
    <t>Metrics</t>
  </si>
  <si>
    <t>AK</t>
  </si>
  <si>
    <t>Azure Compute</t>
  </si>
  <si>
    <t>KAK_VIRTUAL_MACHINE_DETAILS</t>
  </si>
  <si>
    <t>KAK_VIRTUAL_MACHINE_DOMAIN_NAMES</t>
  </si>
  <si>
    <t>KAK_VIRTUAL_MACHINE_IP_ADDRESSES</t>
  </si>
  <si>
    <t>KAK_VIRTUAL_MACHINE_METRICS</t>
  </si>
  <si>
    <t>KAK_VIRTUAL_MACHINE_TAG_NAME_VALUES</t>
  </si>
  <si>
    <t>KAK_VIRTUAL_MACHINES_SUMMARY</t>
  </si>
  <si>
    <t>KAKVMDET</t>
  </si>
  <si>
    <t>KAKVM_DNMS</t>
  </si>
  <si>
    <t>KAKVM_IPS</t>
  </si>
  <si>
    <t>KAKVMMETRI</t>
  </si>
  <si>
    <t>KAKVMTAGS</t>
  </si>
  <si>
    <t>KAKVM_SMRY</t>
  </si>
  <si>
    <t>FC</t>
  </si>
  <si>
    <t>Sterling Connect Direct</t>
  </si>
  <si>
    <t>FG</t>
  </si>
  <si>
    <t>KFC_CD_PROCESS</t>
  </si>
  <si>
    <t>KFC_HOLD_QUEUE_PROCESSES</t>
  </si>
  <si>
    <t>KFC_INBOUND_OUTBOUND_TRANSFER_STATISTICS</t>
  </si>
  <si>
    <t>KFC_INBOUND_OUTBOUND_TRANSFERS</t>
  </si>
  <si>
    <t>KFC_PROCESS_EXECUTION_DETAILS</t>
  </si>
  <si>
    <t>KFC_PROCESS_STATISTICS</t>
  </si>
  <si>
    <t>KFC_SCHEDULED_PROCESS_STATISTICS</t>
  </si>
  <si>
    <t>KFC_SCHEDULED_PROCESS_SUMMARY</t>
  </si>
  <si>
    <t>KFC_SCHEDULED_PROCESSES</t>
  </si>
  <si>
    <t>KFC_SERVER_INFORMATION</t>
  </si>
  <si>
    <t>KFC_WAIT_QUEUE_PROCESS</t>
  </si>
  <si>
    <t>KFG_ADAPTER_STATISTICS</t>
  </si>
  <si>
    <t>KFG_ADAPTERS</t>
  </si>
  <si>
    <t>KFG_EVENTS</t>
  </si>
  <si>
    <t>KFG_FG_ACTIVITY</t>
  </si>
  <si>
    <t>KFG_FILES_ARRIVED</t>
  </si>
  <si>
    <t>KFG_FILES_STATUS</t>
  </si>
  <si>
    <t>KFG_NODES</t>
  </si>
  <si>
    <t>KFG_PART_ACTIVITY</t>
  </si>
  <si>
    <t>KFG_PARTNER_STATISTICS</t>
  </si>
  <si>
    <t>KFCPROCESS</t>
  </si>
  <si>
    <t>KFCHOLDQUE</t>
  </si>
  <si>
    <t>KFCIOTBQUE</t>
  </si>
  <si>
    <t>KFCINBOUND</t>
  </si>
  <si>
    <t>KFCCDSELEC</t>
  </si>
  <si>
    <t>KFCPROCSTA</t>
  </si>
  <si>
    <t>KFCSCHEDU0</t>
  </si>
  <si>
    <t>KFCSCHESUL</t>
  </si>
  <si>
    <t>KFCSCHEDUL</t>
  </si>
  <si>
    <t>KFCSERVERI</t>
  </si>
  <si>
    <t>KFCWAITQU</t>
  </si>
  <si>
    <t>KFGADTSTAT</t>
  </si>
  <si>
    <t>KFGADPT</t>
  </si>
  <si>
    <t>KFGEVENT</t>
  </si>
  <si>
    <t>KFGFGSTH</t>
  </si>
  <si>
    <t>KFGFGARR</t>
  </si>
  <si>
    <t>KFGFGSTAT</t>
  </si>
  <si>
    <t>KFGNODE</t>
  </si>
  <si>
    <t>KFGPACT</t>
  </si>
  <si>
    <t>KFGPPS</t>
  </si>
  <si>
    <t>Sterling File Gateway</t>
  </si>
  <si>
    <t>Number of VMs</t>
  </si>
  <si>
    <t>Number of VM times average number of IP addresses per VM</t>
  </si>
  <si>
    <t>Number of VMs times average number of tags per VM</t>
  </si>
  <si>
    <t>Number of VMs times average number of domains per VM</t>
  </si>
  <si>
    <t>Three rows per interval. Statistics of Inbound, outbound and Total file transfers</t>
  </si>
  <si>
    <t>Number of file transfer processes executed during user specified time period (default 24 hours) [Highly variable]</t>
  </si>
  <si>
    <t>Number of processes in Hold queue [variable]</t>
  </si>
  <si>
    <t>Number of records generated for file transfer processes [Highly variable]</t>
  </si>
  <si>
    <t>Number of processes scheduled on the Connect Direct server [Highly variable]</t>
  </si>
  <si>
    <t>Number file transferred through the scheduled processes [Highly variable]</t>
  </si>
  <si>
    <t>Number processes that are in wait queue [variable]</t>
  </si>
  <si>
    <t>Number of nodes in file gateway setup  (Variable)</t>
  </si>
  <si>
    <t>Number of adapters in a file gateway environment (Variable)</t>
  </si>
  <si>
    <t>Number of Producer Partners in File gateway environment (Variable)</t>
  </si>
  <si>
    <t>Number of Partners in File gateway environment (Variable)</t>
  </si>
  <si>
    <t>Number of file transfers per minute</t>
  </si>
  <si>
    <t>Number of file transfers  executed during user specified time period (default 24 hours)</t>
  </si>
  <si>
    <t>Number of events per file transfers</t>
  </si>
  <si>
    <t>Number of hours of history for AAR data (maximum of 24)</t>
  </si>
  <si>
    <t>v1.4.3 - 02/22/2018 - Added Azure Compute, Sterling Direct Connect and Sterling File GateWay agents</t>
  </si>
  <si>
    <t>v1.4.7 - 09/24/2018 - Allow up to 24 hours retention for AAR data in mongoDB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</si>
</sst>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
    <numFmt numFmtId="170" formatCode="0.0"/>
    <numFmt numFmtId="171" formatCode="&quot;$&quot;#,##0.0"/>
    <numFmt numFmtId="172" formatCode="#,##0.0"/>
    <numFmt numFmtId="173" formatCode="0.0000"/>
    <numFmt numFmtId="174" formatCode="0.000"/>
    <numFmt numFmtId="175" formatCode="[$-409]dddd\,\ mmmm\ dd\,\ yyyy"/>
    <numFmt numFmtId="176" formatCode="[$-409]mmm\-yy;@"/>
    <numFmt numFmtId="177" formatCode="mm/dd/yy;@"/>
    <numFmt numFmtId="178" formatCode="m/d/yyyy;@"/>
    <numFmt numFmtId="179" formatCode="h:mm:ss;@"/>
    <numFmt numFmtId="180" formatCode="#,##0.000"/>
    <numFmt numFmtId="181" formatCode="[$-409]mmmm\ d\,\ yyyy;@"/>
    <numFmt numFmtId="182" formatCode="[$-409]d\-mmm\-yyyy;@"/>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i/>
      <sz val="10"/>
      <name val="Arial"/>
      <family val="2"/>
    </font>
    <font>
      <sz val="10"/>
      <color indexed="8"/>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0"/>
      <color indexed="8"/>
      <name val="Arial"/>
      <family val="2"/>
    </font>
    <font>
      <sz val="10"/>
      <color indexed="10"/>
      <name val="Arial"/>
      <family val="2"/>
    </font>
    <font>
      <sz val="10"/>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theme="0" tint="-0.149959996342659"/>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Alignment="1">
      <alignment/>
    </xf>
    <xf numFmtId="0" fontId="0" fillId="0" borderId="0" xfId="0" applyFont="1" applyAlignment="1">
      <alignment/>
    </xf>
    <xf numFmtId="14" fontId="0" fillId="0" borderId="0" xfId="0" applyNumberFormat="1" applyFont="1" applyAlignment="1">
      <alignment/>
    </xf>
    <xf numFmtId="10" fontId="0" fillId="0" borderId="0" xfId="0" applyNumberFormat="1" applyFont="1" applyAlignment="1">
      <alignment/>
    </xf>
    <xf numFmtId="1" fontId="0" fillId="33" borderId="10" xfId="0" applyNumberFormat="1" applyFont="1" applyFill="1" applyBorder="1" applyAlignment="1">
      <alignment/>
    </xf>
    <xf numFmtId="170" fontId="0" fillId="33" borderId="10" xfId="0" applyNumberFormat="1" applyFont="1" applyFill="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168" fontId="0" fillId="33" borderId="10" xfId="0" applyNumberFormat="1" applyFont="1" applyFill="1" applyBorder="1" applyAlignment="1">
      <alignment/>
    </xf>
    <xf numFmtId="178" fontId="0" fillId="0" borderId="0" xfId="0" applyNumberFormat="1" applyFont="1" applyAlignment="1">
      <alignment/>
    </xf>
    <xf numFmtId="0" fontId="0" fillId="0" borderId="0" xfId="0" applyFont="1" applyAlignment="1">
      <alignment wrapText="1"/>
    </xf>
    <xf numFmtId="0" fontId="0" fillId="0" borderId="0" xfId="0" applyFont="1" applyFill="1" applyBorder="1" applyAlignment="1">
      <alignment/>
    </xf>
    <xf numFmtId="1" fontId="0" fillId="0" borderId="0" xfId="0" applyNumberFormat="1" applyFont="1" applyAlignment="1">
      <alignment/>
    </xf>
    <xf numFmtId="170" fontId="0" fillId="0" borderId="0" xfId="0" applyNumberFormat="1" applyAlignment="1">
      <alignment/>
    </xf>
    <xf numFmtId="2" fontId="0" fillId="0" borderId="0" xfId="0" applyNumberFormat="1" applyAlignment="1">
      <alignment/>
    </xf>
    <xf numFmtId="3" fontId="0" fillId="33" borderId="10" xfId="0" applyNumberFormat="1" applyFont="1" applyFill="1" applyBorder="1" applyAlignment="1">
      <alignment/>
    </xf>
    <xf numFmtId="0" fontId="0" fillId="0" borderId="0" xfId="0" applyFont="1" applyAlignment="1">
      <alignment/>
    </xf>
    <xf numFmtId="0" fontId="4" fillId="34" borderId="10" xfId="0" applyNumberFormat="1" applyFont="1" applyFill="1" applyBorder="1" applyAlignment="1">
      <alignment/>
    </xf>
    <xf numFmtId="170" fontId="0" fillId="33" borderId="10" xfId="0" applyNumberFormat="1" applyFont="1" applyFill="1" applyBorder="1" applyAlignment="1">
      <alignment/>
    </xf>
    <xf numFmtId="0" fontId="0" fillId="0" borderId="0" xfId="0" applyFont="1" applyAlignment="1">
      <alignment horizontal="right"/>
    </xf>
    <xf numFmtId="0" fontId="47" fillId="0" borderId="0" xfId="0" applyFont="1" applyAlignment="1">
      <alignment/>
    </xf>
    <xf numFmtId="168" fontId="0" fillId="0" borderId="0" xfId="0" applyNumberFormat="1" applyAlignment="1">
      <alignment/>
    </xf>
    <xf numFmtId="170" fontId="0" fillId="0" borderId="0" xfId="0" applyNumberFormat="1" applyFont="1" applyAlignment="1">
      <alignment horizontal="right"/>
    </xf>
    <xf numFmtId="3" fontId="0" fillId="33" borderId="10" xfId="0" applyNumberFormat="1" applyFont="1" applyFill="1" applyBorder="1" applyAlignment="1">
      <alignment/>
    </xf>
    <xf numFmtId="0" fontId="0" fillId="0" borderId="0" xfId="0" applyAlignment="1">
      <alignment horizontal="left"/>
    </xf>
    <xf numFmtId="1" fontId="0" fillId="0" borderId="0" xfId="0" applyNumberFormat="1" applyAlignment="1">
      <alignment/>
    </xf>
    <xf numFmtId="1" fontId="0" fillId="0" borderId="0" xfId="0" applyNumberFormat="1" applyFont="1" applyAlignment="1">
      <alignment wrapText="1"/>
    </xf>
    <xf numFmtId="170" fontId="0" fillId="0" borderId="0" xfId="0" applyNumberFormat="1" applyFont="1" applyAlignment="1">
      <alignment/>
    </xf>
    <xf numFmtId="1" fontId="0" fillId="0" borderId="0" xfId="0" applyNumberFormat="1" applyFont="1" applyAlignment="1">
      <alignment/>
    </xf>
    <xf numFmtId="172" fontId="48" fillId="33" borderId="10" xfId="0" applyNumberFormat="1" applyFont="1" applyFill="1" applyBorder="1" applyAlignment="1">
      <alignment/>
    </xf>
    <xf numFmtId="172" fontId="0" fillId="33" borderId="10" xfId="0" applyNumberFormat="1" applyFont="1" applyFill="1" applyBorder="1" applyAlignment="1">
      <alignment/>
    </xf>
    <xf numFmtId="0" fontId="0" fillId="0" borderId="0" xfId="0" applyFont="1" applyFill="1" applyBorder="1" applyAlignment="1">
      <alignment horizontal="left"/>
    </xf>
    <xf numFmtId="0" fontId="48" fillId="0" borderId="0" xfId="0" applyFont="1" applyAlignment="1">
      <alignment horizontal="left"/>
    </xf>
    <xf numFmtId="0" fontId="49" fillId="0" borderId="0" xfId="0" applyFont="1" applyFill="1" applyBorder="1" applyAlignment="1">
      <alignment horizontal="left"/>
    </xf>
    <xf numFmtId="170" fontId="49" fillId="33" borderId="10" xfId="0" applyNumberFormat="1" applyFont="1" applyFill="1" applyBorder="1" applyAlignment="1">
      <alignment/>
    </xf>
    <xf numFmtId="0" fontId="49" fillId="0" borderId="0" xfId="0" applyFont="1" applyAlignment="1">
      <alignment/>
    </xf>
    <xf numFmtId="2" fontId="49" fillId="0" borderId="0" xfId="0" applyNumberFormat="1" applyFont="1" applyFill="1" applyBorder="1" applyAlignment="1">
      <alignment/>
    </xf>
    <xf numFmtId="0" fontId="0" fillId="0" borderId="0" xfId="0" applyFont="1" applyAlignment="1">
      <alignment horizontal="left"/>
    </xf>
    <xf numFmtId="3" fontId="49" fillId="33" borderId="10" xfId="0" applyNumberFormat="1" applyFont="1" applyFill="1" applyBorder="1" applyAlignment="1">
      <alignment/>
    </xf>
    <xf numFmtId="172" fontId="0" fillId="33" borderId="10" xfId="0" applyNumberFormat="1" applyFont="1" applyFill="1" applyBorder="1" applyAlignment="1">
      <alignment/>
    </xf>
    <xf numFmtId="0" fontId="4" fillId="0" borderId="0" xfId="0" applyFont="1" applyAlignment="1">
      <alignment horizontal="left"/>
    </xf>
    <xf numFmtId="0" fontId="0" fillId="33" borderId="10" xfId="0" applyNumberFormat="1" applyFont="1" applyFill="1" applyBorder="1" applyAlignment="1">
      <alignment/>
    </xf>
    <xf numFmtId="9" fontId="0" fillId="0" borderId="0" xfId="0" applyNumberFormat="1" applyAlignment="1">
      <alignment/>
    </xf>
    <xf numFmtId="9" fontId="30" fillId="0" borderId="0" xfId="60" applyFont="1" applyAlignment="1">
      <alignment/>
    </xf>
    <xf numFmtId="4" fontId="0" fillId="33" borderId="10" xfId="0" applyNumberFormat="1" applyFont="1" applyFill="1" applyBorder="1" applyAlignment="1">
      <alignment/>
    </xf>
    <xf numFmtId="9" fontId="0" fillId="0" borderId="0" xfId="60" applyFont="1" applyAlignment="1">
      <alignment/>
    </xf>
    <xf numFmtId="180" fontId="0" fillId="33" borderId="10" xfId="0" applyNumberFormat="1" applyFont="1" applyFill="1" applyBorder="1" applyAlignment="1">
      <alignment/>
    </xf>
    <xf numFmtId="15" fontId="0" fillId="0" borderId="0" xfId="0" applyNumberFormat="1" applyAlignment="1">
      <alignment/>
    </xf>
    <xf numFmtId="0" fontId="0" fillId="0" borderId="0" xfId="0" applyFont="1" applyAlignment="1">
      <alignment/>
    </xf>
    <xf numFmtId="182" fontId="4" fillId="0" borderId="0" xfId="0" applyNumberFormat="1" applyFont="1" applyAlignment="1">
      <alignment/>
    </xf>
    <xf numFmtId="0" fontId="0" fillId="35" borderId="10" xfId="0" applyFill="1" applyBorder="1" applyAlignment="1">
      <alignment wrapText="1"/>
    </xf>
    <xf numFmtId="0" fontId="0" fillId="35" borderId="10" xfId="0" applyFont="1" applyFill="1" applyBorder="1" applyAlignment="1">
      <alignment wrapText="1"/>
    </xf>
    <xf numFmtId="170" fontId="0" fillId="35" borderId="10" xfId="0" applyNumberFormat="1" applyFont="1" applyFill="1" applyBorder="1" applyAlignment="1">
      <alignment wrapText="1"/>
    </xf>
    <xf numFmtId="2" fontId="0" fillId="35" borderId="10" xfId="0" applyNumberFormat="1" applyFont="1" applyFill="1" applyBorder="1" applyAlignment="1">
      <alignment wrapText="1"/>
    </xf>
    <xf numFmtId="0" fontId="4" fillId="0" borderId="0" xfId="0" applyFont="1" applyFill="1" applyBorder="1" applyAlignment="1">
      <alignment/>
    </xf>
    <xf numFmtId="1" fontId="4" fillId="34" borderId="10" xfId="0" applyNumberFormat="1" applyFont="1" applyFill="1" applyBorder="1" applyAlignment="1">
      <alignment/>
    </xf>
    <xf numFmtId="0" fontId="0" fillId="0" borderId="0" xfId="0" applyFont="1" applyFill="1" applyBorder="1" applyAlignment="1">
      <alignment/>
    </xf>
    <xf numFmtId="179" fontId="0" fillId="0" borderId="0" xfId="0" applyNumberFormat="1" applyAlignment="1">
      <alignment/>
    </xf>
    <xf numFmtId="0" fontId="4" fillId="32" borderId="10" xfId="0" applyNumberFormat="1" applyFont="1" applyFill="1" applyBorder="1" applyAlignment="1">
      <alignment/>
    </xf>
    <xf numFmtId="1" fontId="0" fillId="32" borderId="10" xfId="0" applyNumberFormat="1" applyFont="1" applyFill="1" applyBorder="1" applyAlignment="1">
      <alignment/>
    </xf>
    <xf numFmtId="0" fontId="4" fillId="34" borderId="11" xfId="0" applyNumberFormat="1" applyFont="1" applyFill="1" applyBorder="1" applyAlignment="1">
      <alignment/>
    </xf>
    <xf numFmtId="168" fontId="0" fillId="33" borderId="11" xfId="0" applyNumberFormat="1" applyFont="1" applyFill="1" applyBorder="1" applyAlignment="1">
      <alignment/>
    </xf>
    <xf numFmtId="172" fontId="0" fillId="33" borderId="11" xfId="0" applyNumberFormat="1" applyFont="1" applyFill="1" applyBorder="1" applyAlignment="1">
      <alignment/>
    </xf>
    <xf numFmtId="3" fontId="0" fillId="33" borderId="11" xfId="0" applyNumberFormat="1" applyFont="1" applyFill="1" applyBorder="1" applyAlignment="1">
      <alignment/>
    </xf>
    <xf numFmtId="0" fontId="48" fillId="36" borderId="10" xfId="0" applyFont="1" applyFill="1" applyBorder="1" applyAlignment="1">
      <alignment horizontal="left" wrapText="1"/>
    </xf>
    <xf numFmtId="0" fontId="48" fillId="36" borderId="10" xfId="0" applyFont="1" applyFill="1" applyBorder="1" applyAlignment="1">
      <alignment wrapText="1"/>
    </xf>
    <xf numFmtId="0" fontId="0" fillId="35" borderId="10" xfId="0" applyNumberFormat="1" applyFont="1" applyFill="1" applyBorder="1" applyAlignment="1">
      <alignment wrapText="1"/>
    </xf>
    <xf numFmtId="0" fontId="0" fillId="0" borderId="0" xfId="0" applyNumberFormat="1" applyAlignment="1">
      <alignment/>
    </xf>
    <xf numFmtId="0" fontId="0" fillId="0" borderId="0" xfId="0" applyFont="1" applyAlignment="1">
      <alignment horizontal="left"/>
    </xf>
    <xf numFmtId="9" fontId="0" fillId="34" borderId="10" xfId="0" applyNumberFormat="1" applyFont="1" applyFill="1" applyBorder="1" applyAlignment="1">
      <alignment/>
    </xf>
    <xf numFmtId="0" fontId="0" fillId="0" borderId="0" xfId="0" applyFont="1" applyBorder="1" applyAlignment="1">
      <alignment/>
    </xf>
    <xf numFmtId="0" fontId="49" fillId="0" borderId="0" xfId="0" applyFont="1" applyBorder="1" applyAlignment="1">
      <alignment/>
    </xf>
    <xf numFmtId="0" fontId="4" fillId="34" borderId="10" xfId="0" applyFont="1" applyFill="1" applyBorder="1" applyAlignment="1">
      <alignment/>
    </xf>
    <xf numFmtId="0" fontId="0" fillId="0" borderId="0" xfId="57" applyFont="1">
      <alignment/>
      <protection/>
    </xf>
    <xf numFmtId="0" fontId="4" fillId="34" borderId="10" xfId="57" applyNumberFormat="1" applyFont="1" applyFill="1" applyBorder="1">
      <alignment/>
      <protection/>
    </xf>
    <xf numFmtId="0" fontId="4" fillId="34" borderId="11" xfId="57" applyNumberFormat="1" applyFont="1" applyFill="1" applyBorder="1">
      <alignment/>
      <protection/>
    </xf>
    <xf numFmtId="0" fontId="0" fillId="0" borderId="0" xfId="0" applyFont="1" applyFill="1" applyBorder="1" applyAlignment="1">
      <alignment wrapText="1"/>
    </xf>
    <xf numFmtId="0" fontId="48" fillId="0" borderId="0" xfId="0" applyFont="1" applyAlignment="1">
      <alignment/>
    </xf>
    <xf numFmtId="0" fontId="0" fillId="0" borderId="12" xfId="0" applyFont="1" applyBorder="1" applyAlignment="1">
      <alignment wrapText="1"/>
    </xf>
    <xf numFmtId="0" fontId="4" fillId="34" borderId="10" xfId="57" applyNumberFormat="1" applyFont="1" applyFill="1" applyBorder="1" applyAlignment="1">
      <alignment horizontal="right"/>
      <protection/>
    </xf>
    <xf numFmtId="1" fontId="4" fillId="34" borderId="13" xfId="0" applyNumberFormat="1" applyFont="1" applyFill="1" applyBorder="1" applyAlignment="1">
      <alignment/>
    </xf>
    <xf numFmtId="0" fontId="0"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quotePrefix="1">
      <alignment horizontal="left" vertical="center" wrapText="1"/>
    </xf>
    <xf numFmtId="0" fontId="5" fillId="0" borderId="0" xfId="0" applyFont="1" applyAlignment="1">
      <alignment horizontal="left" wrapText="1"/>
    </xf>
    <xf numFmtId="0" fontId="0" fillId="34"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0" xfId="0" applyFont="1" applyAlignment="1">
      <alignment vertical="top" wrapText="1"/>
    </xf>
    <xf numFmtId="1" fontId="4" fillId="33" borderId="10"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Total database row inserts per minute by agent type</a:t>
            </a:r>
          </a:p>
        </c:rich>
      </c:tx>
      <c:layout>
        <c:manualLayout>
          <c:xMode val="factor"/>
          <c:yMode val="factor"/>
          <c:x val="-0.001"/>
          <c:y val="-0.0075"/>
        </c:manualLayout>
      </c:layout>
      <c:spPr>
        <a:noFill/>
        <a:ln>
          <a:noFill/>
        </a:ln>
      </c:spPr>
    </c:title>
    <c:plotArea>
      <c:layout>
        <c:manualLayout>
          <c:xMode val="edge"/>
          <c:yMode val="edge"/>
          <c:x val="0.0345"/>
          <c:y val="0.084"/>
          <c:w val="0.8855"/>
          <c:h val="0.89075"/>
        </c:manualLayout>
      </c:layout>
      <c:barChart>
        <c:barDir val="col"/>
        <c:grouping val="clustered"/>
        <c:varyColors val="0"/>
        <c:ser>
          <c:idx val="0"/>
          <c:order val="0"/>
          <c:tx>
            <c:strRef>
              <c:f>PrefetchDBSummary!$L$11</c:f>
              <c:strCache>
                <c:ptCount val="1"/>
                <c:pt idx="0">
                  <c:v>DB rows inserted per minute total</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12700">
                <a:solidFill>
                  <a:srgbClr val="FFFFFF"/>
                </a:solidFill>
              </a:ln>
            </c:spPr>
          </c:dPt>
          <c:dPt>
            <c:idx val="1"/>
            <c:invertIfNegative val="0"/>
            <c:spPr>
              <a:solidFill>
                <a:srgbClr val="4F81BD"/>
              </a:solidFill>
              <a:ln w="12700">
                <a:solidFill>
                  <a:srgbClr val="FFFFFF"/>
                </a:solidFill>
              </a:ln>
            </c:spPr>
          </c:dPt>
          <c:dPt>
            <c:idx val="2"/>
            <c:invertIfNegative val="0"/>
            <c:spPr>
              <a:solidFill>
                <a:srgbClr val="4F81BD"/>
              </a:solidFill>
              <a:ln w="12700">
                <a:solidFill>
                  <a:srgbClr val="FFFFFF"/>
                </a:solidFill>
              </a:ln>
            </c:spPr>
          </c:dPt>
          <c:dPt>
            <c:idx val="3"/>
            <c:invertIfNegative val="0"/>
            <c:spPr>
              <a:solidFill>
                <a:srgbClr val="4F81BD"/>
              </a:solidFill>
              <a:ln w="12700">
                <a:solidFill>
                  <a:srgbClr val="FFFFFF"/>
                </a:solidFill>
              </a:ln>
            </c:spPr>
          </c:dPt>
          <c:dPt>
            <c:idx val="4"/>
            <c:invertIfNegative val="0"/>
            <c:spPr>
              <a:solidFill>
                <a:srgbClr val="4F81BD"/>
              </a:solidFill>
              <a:ln w="12700">
                <a:solidFill>
                  <a:srgbClr val="FFFFFF"/>
                </a:solidFill>
              </a:ln>
            </c:spPr>
          </c:dPt>
          <c:dPt>
            <c:idx val="5"/>
            <c:invertIfNegative val="0"/>
            <c:spPr>
              <a:solidFill>
                <a:srgbClr val="4F81BD"/>
              </a:solidFill>
              <a:ln w="12700">
                <a:solidFill>
                  <a:srgbClr val="FFFFFF"/>
                </a:solidFill>
              </a:ln>
            </c:spPr>
          </c:dPt>
          <c:dPt>
            <c:idx val="6"/>
            <c:invertIfNegative val="0"/>
            <c:spPr>
              <a:solidFill>
                <a:srgbClr val="4F81BD"/>
              </a:solidFill>
              <a:ln w="12700">
                <a:solidFill>
                  <a:srgbClr val="FFFFFF"/>
                </a:solidFill>
              </a:ln>
            </c:spPr>
          </c:dPt>
          <c:dPt>
            <c:idx val="7"/>
            <c:invertIfNegative val="0"/>
            <c:spPr>
              <a:solidFill>
                <a:srgbClr val="4F81BD"/>
              </a:solidFill>
              <a:ln w="12700">
                <a:solidFill>
                  <a:srgbClr val="FFFFFF"/>
                </a:solidFill>
              </a:ln>
            </c:spPr>
          </c:dPt>
          <c:dPt>
            <c:idx val="8"/>
            <c:invertIfNegative val="0"/>
            <c:spPr>
              <a:solidFill>
                <a:srgbClr val="4F81BD"/>
              </a:solidFill>
              <a:ln w="12700">
                <a:solidFill>
                  <a:srgbClr val="FFFFFF"/>
                </a:solidFill>
              </a:ln>
            </c:spPr>
          </c:dPt>
          <c:dPt>
            <c:idx val="9"/>
            <c:invertIfNegative val="0"/>
            <c:spPr>
              <a:solidFill>
                <a:srgbClr val="4F81BD"/>
              </a:solidFill>
              <a:ln w="12700">
                <a:solidFill>
                  <a:srgbClr val="FFFFFF"/>
                </a:solidFill>
              </a:ln>
            </c:spPr>
          </c:dPt>
          <c:dPt>
            <c:idx val="10"/>
            <c:invertIfNegative val="0"/>
            <c:spPr>
              <a:solidFill>
                <a:srgbClr val="4F81BD"/>
              </a:solidFill>
              <a:ln w="12700">
                <a:solidFill>
                  <a:srgbClr val="FFFFFF"/>
                </a:solidFill>
              </a:ln>
            </c:spPr>
          </c:dPt>
          <c:dPt>
            <c:idx val="11"/>
            <c:invertIfNegative val="0"/>
            <c:spPr>
              <a:solidFill>
                <a:srgbClr val="4F81BD"/>
              </a:solidFill>
              <a:ln w="12700">
                <a:solidFill>
                  <a:srgbClr val="FFFFFF"/>
                </a:solidFill>
              </a:ln>
            </c:spPr>
          </c:dPt>
          <c:dPt>
            <c:idx val="12"/>
            <c:invertIfNegative val="0"/>
            <c:spPr>
              <a:solidFill>
                <a:srgbClr val="4F81BD"/>
              </a:solidFill>
              <a:ln w="12700">
                <a:solidFill>
                  <a:srgbClr val="FFFFFF"/>
                </a:solidFill>
              </a:ln>
            </c:spPr>
          </c:dPt>
          <c:dPt>
            <c:idx val="13"/>
            <c:invertIfNegative val="0"/>
            <c:spPr>
              <a:solidFill>
                <a:srgbClr val="4F81BD"/>
              </a:solidFill>
              <a:ln w="12700">
                <a:solidFill>
                  <a:srgbClr val="FFFFFF"/>
                </a:solidFill>
              </a:ln>
            </c:spPr>
          </c:dPt>
          <c:dPt>
            <c:idx val="14"/>
            <c:invertIfNegative val="0"/>
            <c:spPr>
              <a:solidFill>
                <a:srgbClr val="4F81BD"/>
              </a:solidFill>
              <a:ln w="12700">
                <a:solidFill>
                  <a:srgbClr val="FFFFFF"/>
                </a:solidFill>
              </a:ln>
            </c:spPr>
          </c:dPt>
          <c:dPt>
            <c:idx val="15"/>
            <c:invertIfNegative val="0"/>
            <c:spPr>
              <a:solidFill>
                <a:srgbClr val="4F81BD"/>
              </a:solidFill>
              <a:ln w="12700">
                <a:solidFill>
                  <a:srgbClr val="FFFFFF"/>
                </a:solidFill>
              </a:ln>
            </c:spPr>
          </c:dPt>
          <c:dPt>
            <c:idx val="16"/>
            <c:invertIfNegative val="0"/>
            <c:spPr>
              <a:solidFill>
                <a:srgbClr val="4F81BD"/>
              </a:solidFill>
              <a:ln w="12700">
                <a:solidFill>
                  <a:srgbClr val="FFFFFF"/>
                </a:solidFill>
              </a:ln>
            </c:spPr>
          </c:dPt>
          <c:dPt>
            <c:idx val="17"/>
            <c:invertIfNegative val="0"/>
            <c:spPr>
              <a:solidFill>
                <a:srgbClr val="4F81BD"/>
              </a:solidFill>
              <a:ln w="12700">
                <a:solidFill>
                  <a:srgbClr val="FFFFFF"/>
                </a:solidFill>
              </a:ln>
            </c:spPr>
          </c:dPt>
          <c:dPt>
            <c:idx val="18"/>
            <c:invertIfNegative val="0"/>
            <c:spPr>
              <a:solidFill>
                <a:srgbClr val="4F81BD"/>
              </a:solidFill>
              <a:ln w="12700">
                <a:solidFill>
                  <a:srgbClr val="FFFFFF"/>
                </a:solidFill>
              </a:ln>
            </c:spPr>
          </c:dPt>
          <c:dPt>
            <c:idx val="19"/>
            <c:invertIfNegative val="0"/>
            <c:spPr>
              <a:solidFill>
                <a:srgbClr val="4F81BD"/>
              </a:solidFill>
              <a:ln w="12700">
                <a:solidFill>
                  <a:srgbClr val="FFFFFF"/>
                </a:solidFill>
              </a:ln>
            </c:spPr>
          </c:dPt>
          <c:dPt>
            <c:idx val="20"/>
            <c:invertIfNegative val="0"/>
            <c:spPr>
              <a:solidFill>
                <a:srgbClr val="4F81BD"/>
              </a:solidFill>
              <a:ln w="12700">
                <a:solidFill>
                  <a:srgbClr val="FFFFFF"/>
                </a:solidFill>
              </a:ln>
            </c:spPr>
          </c:dPt>
          <c:dPt>
            <c:idx val="21"/>
            <c:invertIfNegative val="0"/>
            <c:spPr>
              <a:solidFill>
                <a:srgbClr val="4F81BD"/>
              </a:solidFill>
              <a:ln w="12700">
                <a:solidFill>
                  <a:srgbClr val="FFFFFF"/>
                </a:solidFill>
              </a:ln>
            </c:spPr>
          </c:dPt>
          <c:dPt>
            <c:idx val="22"/>
            <c:invertIfNegative val="0"/>
            <c:spPr>
              <a:solidFill>
                <a:srgbClr val="4F81BD"/>
              </a:solidFill>
              <a:ln w="12700">
                <a:solidFill>
                  <a:srgbClr val="FFFFFF"/>
                </a:solidFill>
              </a:ln>
            </c:spPr>
          </c:dPt>
          <c:dPt>
            <c:idx val="23"/>
            <c:invertIfNegative val="0"/>
            <c:spPr>
              <a:solidFill>
                <a:srgbClr val="4F81BD"/>
              </a:solidFill>
              <a:ln w="12700">
                <a:solidFill>
                  <a:srgbClr val="FFFFFF"/>
                </a:solidFill>
              </a:ln>
            </c:spPr>
          </c:dPt>
          <c:dPt>
            <c:idx val="24"/>
            <c:invertIfNegative val="0"/>
            <c:spPr>
              <a:solidFill>
                <a:srgbClr val="4F81BD"/>
              </a:solidFill>
              <a:ln w="12700">
                <a:solidFill>
                  <a:srgbClr val="FFFFFF"/>
                </a:solidFill>
              </a:ln>
            </c:spPr>
          </c:dPt>
          <c:dPt>
            <c:idx val="25"/>
            <c:invertIfNegative val="0"/>
            <c:spPr>
              <a:solidFill>
                <a:srgbClr val="4F81BD"/>
              </a:solidFill>
              <a:ln w="12700">
                <a:solidFill>
                  <a:srgbClr val="FFFFFF"/>
                </a:solidFill>
              </a:ln>
            </c:spPr>
          </c:dPt>
          <c:dPt>
            <c:idx val="26"/>
            <c:invertIfNegative val="0"/>
            <c:spPr>
              <a:solidFill>
                <a:srgbClr val="4F81BD"/>
              </a:solidFill>
              <a:ln w="12700">
                <a:solidFill>
                  <a:srgbClr val="FFFFFF"/>
                </a:solidFill>
              </a:ln>
            </c:spPr>
          </c:dPt>
          <c:dPt>
            <c:idx val="27"/>
            <c:invertIfNegative val="0"/>
            <c:spPr>
              <a:solidFill>
                <a:srgbClr val="4F81BD"/>
              </a:solidFill>
              <a:ln w="12700">
                <a:solidFill>
                  <a:srgbClr val="FFFFFF"/>
                </a:solidFill>
              </a:ln>
            </c:spPr>
          </c:dPt>
          <c:dPt>
            <c:idx val="28"/>
            <c:invertIfNegative val="0"/>
            <c:spPr>
              <a:solidFill>
                <a:srgbClr val="4F81BD"/>
              </a:solidFill>
              <a:ln w="12700">
                <a:solidFill>
                  <a:srgbClr val="FFFFFF"/>
                </a:solidFill>
              </a:ln>
            </c:spPr>
          </c:dPt>
          <c:dPt>
            <c:idx val="29"/>
            <c:invertIfNegative val="0"/>
            <c:spPr>
              <a:solidFill>
                <a:srgbClr val="4F81BD"/>
              </a:solidFill>
              <a:ln w="12700">
                <a:solidFill>
                  <a:srgbClr val="FFFFFF"/>
                </a:solidFill>
              </a:ln>
            </c:spPr>
          </c:dPt>
          <c:dPt>
            <c:idx val="30"/>
            <c:invertIfNegative val="0"/>
            <c:spPr>
              <a:solidFill>
                <a:srgbClr val="4F81BD"/>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(PrefetchDBSummary!$B$12:$B$23,PrefetchDBSummary!$B$26:$B$69,PrefetchDBSummary!$B$72:$B$74,PrefetchDBSummary!$B$78)</c:f>
              <c:strCache>
                <c:ptCount val="60"/>
                <c:pt idx="0">
                  <c:v>Amazon EC2</c:v>
                </c:pt>
                <c:pt idx="1">
                  <c:v>Azure Compute</c:v>
                </c:pt>
                <c:pt idx="2">
                  <c:v>Cassandra</c:v>
                </c:pt>
                <c:pt idx="3">
                  <c:v>Cisco UCS</c:v>
                </c:pt>
                <c:pt idx="4">
                  <c:v>Citrix VDI</c:v>
                </c:pt>
                <c:pt idx="5">
                  <c:v>DataPower</c:v>
                </c:pt>
                <c:pt idx="6">
                  <c:v>DB2</c:v>
                </c:pt>
                <c:pt idx="7">
                  <c:v>Hadoop</c:v>
                </c:pt>
                <c:pt idx="8">
                  <c:v>HMC Base</c:v>
                </c:pt>
                <c:pt idx="9">
                  <c:v>HTTP Servers</c:v>
                </c:pt>
                <c:pt idx="10">
                  <c:v>IBM i OS</c:v>
                </c:pt>
                <c:pt idx="11">
                  <c:v>IBM Integration Bus</c:v>
                </c:pt>
                <c:pt idx="12">
                  <c:v>JBoss</c:v>
                </c:pt>
                <c:pt idx="13">
                  <c:v>Linux KVM</c:v>
                </c:pt>
                <c:pt idx="14">
                  <c:v>Linux OS</c:v>
                </c:pt>
                <c:pt idx="15">
                  <c:v>Microsoft Active Directory</c:v>
                </c:pt>
                <c:pt idx="16">
                  <c:v>Microsoft Cluster Server</c:v>
                </c:pt>
                <c:pt idx="17">
                  <c:v>Microsoft Exchange</c:v>
                </c:pt>
                <c:pt idx="18">
                  <c:v>Microsoft Hyper-V Server</c:v>
                </c:pt>
                <c:pt idx="19">
                  <c:v>Microsoft Internet Information Services</c:v>
                </c:pt>
                <c:pt idx="20">
                  <c:v>Microsoft Lync Server</c:v>
                </c:pt>
                <c:pt idx="21">
                  <c:v>Microsoft .NET</c:v>
                </c:pt>
                <c:pt idx="22">
                  <c:v>Microsoft Office 365</c:v>
                </c:pt>
                <c:pt idx="23">
                  <c:v>Microsoft SharePoint Server</c:v>
                </c:pt>
                <c:pt idx="24">
                  <c:v>Microsoft SQL Server</c:v>
                </c:pt>
                <c:pt idx="25">
                  <c:v>MongoDB</c:v>
                </c:pt>
                <c:pt idx="26">
                  <c:v>MySQL</c:v>
                </c:pt>
                <c:pt idx="27">
                  <c:v>NetApp Storage</c:v>
                </c:pt>
                <c:pt idx="28">
                  <c:v>Node.js</c:v>
                </c:pt>
                <c:pt idx="29">
                  <c:v>OMEGAMON XE for CICS</c:v>
                </c:pt>
                <c:pt idx="30">
                  <c:v>OMEGAMON XE for CICS TG</c:v>
                </c:pt>
                <c:pt idx="31">
                  <c:v>OMEGAMON XE for DB2 on z/OS</c:v>
                </c:pt>
                <c:pt idx="32">
                  <c:v>OMEGAMON XE for IMS</c:v>
                </c:pt>
                <c:pt idx="33">
                  <c:v>OMEGAMON XE for JVM</c:v>
                </c:pt>
                <c:pt idx="34">
                  <c:v>OMEGAMON XE for z/OS</c:v>
                </c:pt>
                <c:pt idx="35">
                  <c:v>OpenStack</c:v>
                </c:pt>
                <c:pt idx="36">
                  <c:v>Oracle Database</c:v>
                </c:pt>
                <c:pt idx="37">
                  <c:v>PHP</c:v>
                </c:pt>
                <c:pt idx="38">
                  <c:v>PostgreSQL</c:v>
                </c:pt>
                <c:pt idx="39">
                  <c:v>RabbitMQ</c:v>
                </c:pt>
                <c:pt idx="40">
                  <c:v>Response Time Monitoring</c:v>
                </c:pt>
                <c:pt idx="41">
                  <c:v>Ruby</c:v>
                </c:pt>
                <c:pt idx="42">
                  <c:v>SAP Applications</c:v>
                </c:pt>
                <c:pt idx="43">
                  <c:v>SAP HANA Database</c:v>
                </c:pt>
                <c:pt idx="44">
                  <c:v>SAP NetWeaver Java Stack</c:v>
                </c:pt>
                <c:pt idx="45">
                  <c:v>Siebel</c:v>
                </c:pt>
                <c:pt idx="46">
                  <c:v>Sterling Connect Direct</c:v>
                </c:pt>
                <c:pt idx="47">
                  <c:v>Sterling File Gateway</c:v>
                </c:pt>
                <c:pt idx="48">
                  <c:v>Synthetic Playback</c:v>
                </c:pt>
                <c:pt idx="49">
                  <c:v>Tomcat</c:v>
                </c:pt>
                <c:pt idx="50">
                  <c:v>Tuxedo</c:v>
                </c:pt>
                <c:pt idx="51">
                  <c:v>Unix OS</c:v>
                </c:pt>
                <c:pt idx="52">
                  <c:v>VMware VI</c:v>
                </c:pt>
                <c:pt idx="53">
                  <c:v>WebLogic</c:v>
                </c:pt>
                <c:pt idx="54">
                  <c:v>0</c:v>
                </c:pt>
                <c:pt idx="55">
                  <c:v>WebSphere Applications</c:v>
                </c:pt>
                <c:pt idx="56">
                  <c:v>WebSphere Infrastructure Manager</c:v>
                </c:pt>
                <c:pt idx="57">
                  <c:v>WebSphere MQ</c:v>
                </c:pt>
                <c:pt idx="58">
                  <c:v>Windows OS</c:v>
                </c:pt>
                <c:pt idx="59">
                  <c:v>Data Collectors</c:v>
                </c:pt>
              </c:strCache>
            </c:strRef>
          </c:cat>
          <c:val>
            <c:numRef>
              <c:f>(PrefetchDBSummary!$L$12:$L$23,PrefetchDBSummary!$L$26:$L$69,PrefetchDBSummary!$L$72:$L$74,PrefetchDBSummary!$L$78)</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433.75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774</c:v>
                </c:pt>
                <c:pt idx="47">
                  <c:v>6975</c:v>
                </c:pt>
                <c:pt idx="48">
                  <c:v>0</c:v>
                </c:pt>
                <c:pt idx="49">
                  <c:v>0</c:v>
                </c:pt>
                <c:pt idx="50">
                  <c:v>0</c:v>
                </c:pt>
                <c:pt idx="51">
                  <c:v>747.75</c:v>
                </c:pt>
                <c:pt idx="52">
                  <c:v>0</c:v>
                </c:pt>
                <c:pt idx="53">
                  <c:v>0</c:v>
                </c:pt>
                <c:pt idx="55">
                  <c:v>0</c:v>
                </c:pt>
                <c:pt idx="56">
                  <c:v>0</c:v>
                </c:pt>
                <c:pt idx="57">
                  <c:v>0</c:v>
                </c:pt>
                <c:pt idx="58">
                  <c:v>588</c:v>
                </c:pt>
                <c:pt idx="59">
                  <c:v>0</c:v>
                </c:pt>
              </c:numCache>
            </c:numRef>
          </c:val>
        </c:ser>
        <c:gapWidth val="100"/>
        <c:axId val="22436453"/>
        <c:axId val="601486"/>
      </c:barChart>
      <c:catAx>
        <c:axId val="22436453"/>
        <c:scaling>
          <c:orientation val="minMax"/>
        </c:scaling>
        <c:axPos val="b"/>
        <c:title>
          <c:tx>
            <c:rich>
              <a:bodyPr vert="horz" rot="0" anchor="ctr"/>
              <a:lstStyle/>
              <a:p>
                <a:pPr algn="ctr">
                  <a:defRPr/>
                </a:pPr>
                <a:r>
                  <a:rPr lang="en-US" cap="none" sz="1000" b="0" i="0" u="none" baseline="0">
                    <a:solidFill>
                      <a:srgbClr val="333333"/>
                    </a:solidFill>
                  </a:rPr>
                  <a:t>Agent type</a:t>
                </a:r>
              </a:p>
            </c:rich>
          </c:tx>
          <c:layout>
            <c:manualLayout>
              <c:xMode val="factor"/>
              <c:yMode val="factor"/>
              <c:x val="-0.06975"/>
              <c:y val="0"/>
            </c:manualLayout>
          </c:layout>
          <c:overlay val="0"/>
          <c:spPr>
            <a:noFill/>
            <a:ln>
              <a:noFill/>
            </a:ln>
          </c:spPr>
        </c:title>
        <c:delete val="0"/>
        <c:numFmt formatCode="General" sourceLinked="1"/>
        <c:majorTickMark val="out"/>
        <c:minorTickMark val="none"/>
        <c:tickLblPos val="nextTo"/>
        <c:spPr>
          <a:ln w="3175">
            <a:solidFill>
              <a:srgbClr val="E3E3E3"/>
            </a:solidFill>
          </a:ln>
        </c:spPr>
        <c:txPr>
          <a:bodyPr vert="horz" rot="-5400000"/>
          <a:lstStyle/>
          <a:p>
            <a:pPr>
              <a:defRPr lang="en-US" cap="none" sz="900" b="0" i="0" u="none" baseline="0">
                <a:solidFill>
                  <a:srgbClr val="333333"/>
                </a:solidFill>
              </a:defRPr>
            </a:pPr>
          </a:p>
        </c:txPr>
        <c:crossAx val="601486"/>
        <c:crosses val="autoZero"/>
        <c:auto val="0"/>
        <c:lblOffset val="100"/>
        <c:tickLblSkip val="2"/>
        <c:noMultiLvlLbl val="0"/>
      </c:catAx>
      <c:valAx>
        <c:axId val="601486"/>
        <c:scaling>
          <c:orientation val="minMax"/>
        </c:scaling>
        <c:axPos val="l"/>
        <c:title>
          <c:tx>
            <c:rich>
              <a:bodyPr vert="horz" rot="-5400000" anchor="ctr"/>
              <a:lstStyle/>
              <a:p>
                <a:pPr algn="ctr">
                  <a:defRPr/>
                </a:pPr>
                <a:r>
                  <a:rPr lang="en-US" cap="none" sz="1000" b="0" i="0" u="none" baseline="0">
                    <a:solidFill>
                      <a:srgbClr val="333333"/>
                    </a:solidFill>
                  </a:rPr>
                  <a:t>Total row inserts per minute by agent type</a:t>
                </a:r>
              </a:p>
            </c:rich>
          </c:tx>
          <c:layout>
            <c:manualLayout>
              <c:xMode val="factor"/>
              <c:yMode val="factor"/>
              <c:x val="-0.0065"/>
              <c:y val="0"/>
            </c:manualLayout>
          </c:layout>
          <c:overlay val="0"/>
          <c:spPr>
            <a:noFill/>
            <a:ln>
              <a:noFill/>
            </a:ln>
          </c:spPr>
        </c:title>
        <c:majorGridlines>
          <c:spPr>
            <a:ln w="3175">
              <a:solidFill>
                <a:srgbClr val="E3E3E3"/>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22436453"/>
        <c:crossesAt val="1"/>
        <c:crossBetween val="between"/>
        <c:dispUnits/>
      </c:valAx>
      <c:spPr>
        <a:noFill/>
        <a:ln>
          <a:noFill/>
        </a:ln>
      </c:spPr>
    </c:plotArea>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2475"/>
          <c:y val="0.09775"/>
          <c:w val="0.89525"/>
          <c:h val="0.898"/>
        </c:manualLayout>
      </c:layout>
      <c:barChart>
        <c:barDir val="col"/>
        <c:grouping val="clustered"/>
        <c:varyColors val="0"/>
        <c:ser>
          <c:idx val="0"/>
          <c:order val="0"/>
          <c:tx>
            <c:strRef>
              <c:f>PrefetchDBSummary!$O$11</c:f>
              <c:strCache>
                <c:ptCount val="1"/>
                <c:pt idx="0">
                  <c:v>Total disk space usage across all agent tables (MB)</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12700">
                <a:solidFill>
                  <a:srgbClr val="FFFFFF"/>
                </a:solidFill>
              </a:ln>
            </c:spPr>
          </c:dPt>
          <c:dPt>
            <c:idx val="1"/>
            <c:invertIfNegative val="0"/>
            <c:spPr>
              <a:solidFill>
                <a:srgbClr val="4F81BD"/>
              </a:solidFill>
              <a:ln w="12700">
                <a:solidFill>
                  <a:srgbClr val="FFFFFF"/>
                </a:solidFill>
              </a:ln>
            </c:spPr>
          </c:dPt>
          <c:dPt>
            <c:idx val="2"/>
            <c:invertIfNegative val="0"/>
            <c:spPr>
              <a:solidFill>
                <a:srgbClr val="4F81BD"/>
              </a:solidFill>
              <a:ln w="12700">
                <a:solidFill>
                  <a:srgbClr val="FFFFFF"/>
                </a:solidFill>
              </a:ln>
            </c:spPr>
          </c:dPt>
          <c:dPt>
            <c:idx val="3"/>
            <c:invertIfNegative val="0"/>
            <c:spPr>
              <a:solidFill>
                <a:srgbClr val="4F81BD"/>
              </a:solidFill>
              <a:ln w="12700">
                <a:solidFill>
                  <a:srgbClr val="FFFFFF"/>
                </a:solidFill>
              </a:ln>
            </c:spPr>
          </c:dPt>
          <c:dPt>
            <c:idx val="4"/>
            <c:invertIfNegative val="0"/>
            <c:spPr>
              <a:solidFill>
                <a:srgbClr val="4F81BD"/>
              </a:solidFill>
              <a:ln w="12700">
                <a:solidFill>
                  <a:srgbClr val="FFFFFF"/>
                </a:solidFill>
              </a:ln>
            </c:spPr>
          </c:dPt>
          <c:dPt>
            <c:idx val="5"/>
            <c:invertIfNegative val="0"/>
            <c:spPr>
              <a:solidFill>
                <a:srgbClr val="4F81BD"/>
              </a:solidFill>
              <a:ln w="12700">
                <a:solidFill>
                  <a:srgbClr val="FFFFFF"/>
                </a:solidFill>
              </a:ln>
            </c:spPr>
          </c:dPt>
          <c:dPt>
            <c:idx val="6"/>
            <c:invertIfNegative val="0"/>
            <c:spPr>
              <a:solidFill>
                <a:srgbClr val="4F81BD"/>
              </a:solidFill>
              <a:ln w="12700">
                <a:solidFill>
                  <a:srgbClr val="FFFFFF"/>
                </a:solidFill>
              </a:ln>
            </c:spPr>
          </c:dPt>
          <c:dPt>
            <c:idx val="7"/>
            <c:invertIfNegative val="0"/>
            <c:spPr>
              <a:solidFill>
                <a:srgbClr val="4F81BD"/>
              </a:solidFill>
              <a:ln w="12700">
                <a:solidFill>
                  <a:srgbClr val="FFFFFF"/>
                </a:solidFill>
              </a:ln>
            </c:spPr>
          </c:dPt>
          <c:dPt>
            <c:idx val="8"/>
            <c:invertIfNegative val="0"/>
            <c:spPr>
              <a:solidFill>
                <a:srgbClr val="4F81BD"/>
              </a:solidFill>
              <a:ln w="12700">
                <a:solidFill>
                  <a:srgbClr val="FFFFFF"/>
                </a:solidFill>
              </a:ln>
            </c:spPr>
          </c:dPt>
          <c:dPt>
            <c:idx val="9"/>
            <c:invertIfNegative val="0"/>
            <c:spPr>
              <a:solidFill>
                <a:srgbClr val="4F81BD"/>
              </a:solidFill>
              <a:ln w="12700">
                <a:solidFill>
                  <a:srgbClr val="FFFFFF"/>
                </a:solidFill>
              </a:ln>
            </c:spPr>
          </c:dPt>
          <c:dPt>
            <c:idx val="10"/>
            <c:invertIfNegative val="0"/>
            <c:spPr>
              <a:solidFill>
                <a:srgbClr val="4F81BD"/>
              </a:solidFill>
              <a:ln w="12700">
                <a:solidFill>
                  <a:srgbClr val="FFFFFF"/>
                </a:solidFill>
              </a:ln>
            </c:spPr>
          </c:dPt>
          <c:dPt>
            <c:idx val="11"/>
            <c:invertIfNegative val="0"/>
            <c:spPr>
              <a:solidFill>
                <a:srgbClr val="4F81BD"/>
              </a:solidFill>
              <a:ln w="12700">
                <a:solidFill>
                  <a:srgbClr val="FFFFFF"/>
                </a:solidFill>
              </a:ln>
            </c:spPr>
          </c:dPt>
          <c:dPt>
            <c:idx val="12"/>
            <c:invertIfNegative val="0"/>
            <c:spPr>
              <a:solidFill>
                <a:srgbClr val="4F81BD"/>
              </a:solidFill>
              <a:ln w="12700">
                <a:solidFill>
                  <a:srgbClr val="FFFFFF"/>
                </a:solidFill>
              </a:ln>
            </c:spPr>
          </c:dPt>
          <c:dPt>
            <c:idx val="13"/>
            <c:invertIfNegative val="0"/>
            <c:spPr>
              <a:solidFill>
                <a:srgbClr val="4F81BD"/>
              </a:solidFill>
              <a:ln w="12700">
                <a:solidFill>
                  <a:srgbClr val="FFFFFF"/>
                </a:solidFill>
              </a:ln>
            </c:spPr>
          </c:dPt>
          <c:dPt>
            <c:idx val="14"/>
            <c:invertIfNegative val="0"/>
            <c:spPr>
              <a:solidFill>
                <a:srgbClr val="4F81BD"/>
              </a:solidFill>
              <a:ln w="12700">
                <a:solidFill>
                  <a:srgbClr val="FFFFFF"/>
                </a:solidFill>
              </a:ln>
            </c:spPr>
          </c:dPt>
          <c:dPt>
            <c:idx val="15"/>
            <c:invertIfNegative val="0"/>
            <c:spPr>
              <a:solidFill>
                <a:srgbClr val="4F81BD"/>
              </a:solidFill>
              <a:ln w="12700">
                <a:solidFill>
                  <a:srgbClr val="FFFFFF"/>
                </a:solidFill>
              </a:ln>
            </c:spPr>
          </c:dPt>
          <c:dPt>
            <c:idx val="16"/>
            <c:invertIfNegative val="0"/>
            <c:spPr>
              <a:solidFill>
                <a:srgbClr val="4F81BD"/>
              </a:solidFill>
              <a:ln w="12700">
                <a:solidFill>
                  <a:srgbClr val="FFFFFF"/>
                </a:solidFill>
              </a:ln>
            </c:spPr>
          </c:dPt>
          <c:dPt>
            <c:idx val="17"/>
            <c:invertIfNegative val="0"/>
            <c:spPr>
              <a:solidFill>
                <a:srgbClr val="4F81BD"/>
              </a:solidFill>
              <a:ln w="12700">
                <a:solidFill>
                  <a:srgbClr val="FFFFFF"/>
                </a:solidFill>
              </a:ln>
            </c:spPr>
          </c:dPt>
          <c:dPt>
            <c:idx val="18"/>
            <c:invertIfNegative val="0"/>
            <c:spPr>
              <a:solidFill>
                <a:srgbClr val="4F81BD"/>
              </a:solidFill>
              <a:ln w="12700">
                <a:solidFill>
                  <a:srgbClr val="FFFFFF"/>
                </a:solidFill>
              </a:ln>
            </c:spPr>
          </c:dPt>
          <c:dPt>
            <c:idx val="19"/>
            <c:invertIfNegative val="0"/>
            <c:spPr>
              <a:solidFill>
                <a:srgbClr val="4F81BD"/>
              </a:solidFill>
              <a:ln w="12700">
                <a:solidFill>
                  <a:srgbClr val="FFFFFF"/>
                </a:solidFill>
              </a:ln>
            </c:spPr>
          </c:dPt>
          <c:dPt>
            <c:idx val="20"/>
            <c:invertIfNegative val="0"/>
            <c:spPr>
              <a:solidFill>
                <a:srgbClr val="4F81BD"/>
              </a:solidFill>
              <a:ln w="12700">
                <a:solidFill>
                  <a:srgbClr val="FFFFFF"/>
                </a:solidFill>
              </a:ln>
            </c:spPr>
          </c:dPt>
          <c:dPt>
            <c:idx val="21"/>
            <c:invertIfNegative val="0"/>
            <c:spPr>
              <a:solidFill>
                <a:srgbClr val="4F81BD"/>
              </a:solidFill>
              <a:ln w="12700">
                <a:solidFill>
                  <a:srgbClr val="FFFFFF"/>
                </a:solidFill>
              </a:ln>
            </c:spPr>
          </c:dPt>
          <c:dPt>
            <c:idx val="22"/>
            <c:invertIfNegative val="0"/>
            <c:spPr>
              <a:solidFill>
                <a:srgbClr val="4F81BD"/>
              </a:solidFill>
              <a:ln w="12700">
                <a:solidFill>
                  <a:srgbClr val="FFFFFF"/>
                </a:solidFill>
              </a:ln>
            </c:spPr>
          </c:dPt>
          <c:dPt>
            <c:idx val="23"/>
            <c:invertIfNegative val="0"/>
            <c:spPr>
              <a:solidFill>
                <a:srgbClr val="4F81BD"/>
              </a:solidFill>
              <a:ln w="12700">
                <a:solidFill>
                  <a:srgbClr val="FFFFFF"/>
                </a:solidFill>
              </a:ln>
            </c:spPr>
          </c:dPt>
          <c:dPt>
            <c:idx val="24"/>
            <c:invertIfNegative val="0"/>
            <c:spPr>
              <a:solidFill>
                <a:srgbClr val="4F81BD"/>
              </a:solidFill>
              <a:ln w="12700">
                <a:solidFill>
                  <a:srgbClr val="FFFFFF"/>
                </a:solidFill>
              </a:ln>
            </c:spPr>
          </c:dPt>
          <c:dPt>
            <c:idx val="25"/>
            <c:invertIfNegative val="0"/>
            <c:spPr>
              <a:solidFill>
                <a:srgbClr val="4F81BD"/>
              </a:solidFill>
              <a:ln w="12700">
                <a:solidFill>
                  <a:srgbClr val="FFFFFF"/>
                </a:solidFill>
              </a:ln>
            </c:spPr>
          </c:dPt>
          <c:dPt>
            <c:idx val="26"/>
            <c:invertIfNegative val="0"/>
            <c:spPr>
              <a:solidFill>
                <a:srgbClr val="4F81BD"/>
              </a:solidFill>
              <a:ln w="12700">
                <a:solidFill>
                  <a:srgbClr val="FFFFFF"/>
                </a:solidFill>
              </a:ln>
            </c:spPr>
          </c:dPt>
          <c:dPt>
            <c:idx val="27"/>
            <c:invertIfNegative val="0"/>
            <c:spPr>
              <a:solidFill>
                <a:srgbClr val="4F81BD"/>
              </a:solidFill>
              <a:ln w="12700">
                <a:solidFill>
                  <a:srgbClr val="FFFFFF"/>
                </a:solidFill>
              </a:ln>
            </c:spPr>
          </c:dPt>
          <c:dPt>
            <c:idx val="28"/>
            <c:invertIfNegative val="0"/>
            <c:spPr>
              <a:solidFill>
                <a:srgbClr val="4F81BD"/>
              </a:solidFill>
              <a:ln w="12700">
                <a:solidFill>
                  <a:srgbClr val="FFFFFF"/>
                </a:solidFill>
              </a:ln>
            </c:spPr>
          </c:dPt>
          <c:dPt>
            <c:idx val="29"/>
            <c:invertIfNegative val="0"/>
            <c:spPr>
              <a:solidFill>
                <a:srgbClr val="4F81BD"/>
              </a:solidFill>
              <a:ln w="12700">
                <a:solidFill>
                  <a:srgbClr val="FFFFFF"/>
                </a:solidFill>
              </a:ln>
            </c:spPr>
          </c:dPt>
          <c:dPt>
            <c:idx val="30"/>
            <c:invertIfNegative val="0"/>
            <c:spPr>
              <a:solidFill>
                <a:srgbClr val="4F81BD"/>
              </a:solidFill>
              <a:ln w="12700">
                <a:solidFill>
                  <a:srgbClr val="FFFFFF"/>
                </a:solidFill>
              </a:ln>
            </c:spPr>
          </c:dPt>
          <c:dLbls>
            <c:numFmt formatCode="#,##0" sourceLinked="0"/>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(PrefetchDBSummary!$B$12:$B$23,PrefetchDBSummary!$B$26:$B$69,PrefetchDBSummary!$B$72:$B$74,PrefetchDBSummary!$B$78)</c:f>
              <c:strCache>
                <c:ptCount val="60"/>
                <c:pt idx="0">
                  <c:v>Amazon EC2</c:v>
                </c:pt>
                <c:pt idx="1">
                  <c:v>Azure Compute</c:v>
                </c:pt>
                <c:pt idx="2">
                  <c:v>Cassandra</c:v>
                </c:pt>
                <c:pt idx="3">
                  <c:v>Cisco UCS</c:v>
                </c:pt>
                <c:pt idx="4">
                  <c:v>Citrix VDI</c:v>
                </c:pt>
                <c:pt idx="5">
                  <c:v>DataPower</c:v>
                </c:pt>
                <c:pt idx="6">
                  <c:v>DB2</c:v>
                </c:pt>
                <c:pt idx="7">
                  <c:v>Hadoop</c:v>
                </c:pt>
                <c:pt idx="8">
                  <c:v>HMC Base</c:v>
                </c:pt>
                <c:pt idx="9">
                  <c:v>HTTP Servers</c:v>
                </c:pt>
                <c:pt idx="10">
                  <c:v>IBM i OS</c:v>
                </c:pt>
                <c:pt idx="11">
                  <c:v>IBM Integration Bus</c:v>
                </c:pt>
                <c:pt idx="12">
                  <c:v>JBoss</c:v>
                </c:pt>
                <c:pt idx="13">
                  <c:v>Linux KVM</c:v>
                </c:pt>
                <c:pt idx="14">
                  <c:v>Linux OS</c:v>
                </c:pt>
                <c:pt idx="15">
                  <c:v>Microsoft Active Directory</c:v>
                </c:pt>
                <c:pt idx="16">
                  <c:v>Microsoft Cluster Server</c:v>
                </c:pt>
                <c:pt idx="17">
                  <c:v>Microsoft Exchange</c:v>
                </c:pt>
                <c:pt idx="18">
                  <c:v>Microsoft Hyper-V Server</c:v>
                </c:pt>
                <c:pt idx="19">
                  <c:v>Microsoft Internet Information Services</c:v>
                </c:pt>
                <c:pt idx="20">
                  <c:v>Microsoft Lync Server</c:v>
                </c:pt>
                <c:pt idx="21">
                  <c:v>Microsoft .NET</c:v>
                </c:pt>
                <c:pt idx="22">
                  <c:v>Microsoft Office 365</c:v>
                </c:pt>
                <c:pt idx="23">
                  <c:v>Microsoft SharePoint Server</c:v>
                </c:pt>
                <c:pt idx="24">
                  <c:v>Microsoft SQL Server</c:v>
                </c:pt>
                <c:pt idx="25">
                  <c:v>MongoDB</c:v>
                </c:pt>
                <c:pt idx="26">
                  <c:v>MySQL</c:v>
                </c:pt>
                <c:pt idx="27">
                  <c:v>NetApp Storage</c:v>
                </c:pt>
                <c:pt idx="28">
                  <c:v>Node.js</c:v>
                </c:pt>
                <c:pt idx="29">
                  <c:v>OMEGAMON XE for CICS</c:v>
                </c:pt>
                <c:pt idx="30">
                  <c:v>OMEGAMON XE for CICS TG</c:v>
                </c:pt>
                <c:pt idx="31">
                  <c:v>OMEGAMON XE for DB2 on z/OS</c:v>
                </c:pt>
                <c:pt idx="32">
                  <c:v>OMEGAMON XE for IMS</c:v>
                </c:pt>
                <c:pt idx="33">
                  <c:v>OMEGAMON XE for JVM</c:v>
                </c:pt>
                <c:pt idx="34">
                  <c:v>OMEGAMON XE for z/OS</c:v>
                </c:pt>
                <c:pt idx="35">
                  <c:v>OpenStack</c:v>
                </c:pt>
                <c:pt idx="36">
                  <c:v>Oracle Database</c:v>
                </c:pt>
                <c:pt idx="37">
                  <c:v>PHP</c:v>
                </c:pt>
                <c:pt idx="38">
                  <c:v>PostgreSQL</c:v>
                </c:pt>
                <c:pt idx="39">
                  <c:v>RabbitMQ</c:v>
                </c:pt>
                <c:pt idx="40">
                  <c:v>Response Time Monitoring</c:v>
                </c:pt>
                <c:pt idx="41">
                  <c:v>Ruby</c:v>
                </c:pt>
                <c:pt idx="42">
                  <c:v>SAP Applications</c:v>
                </c:pt>
                <c:pt idx="43">
                  <c:v>SAP HANA Database</c:v>
                </c:pt>
                <c:pt idx="44">
                  <c:v>SAP NetWeaver Java Stack</c:v>
                </c:pt>
                <c:pt idx="45">
                  <c:v>Siebel</c:v>
                </c:pt>
                <c:pt idx="46">
                  <c:v>Sterling Connect Direct</c:v>
                </c:pt>
                <c:pt idx="47">
                  <c:v>Sterling File Gateway</c:v>
                </c:pt>
                <c:pt idx="48">
                  <c:v>Synthetic Playback</c:v>
                </c:pt>
                <c:pt idx="49">
                  <c:v>Tomcat</c:v>
                </c:pt>
                <c:pt idx="50">
                  <c:v>Tuxedo</c:v>
                </c:pt>
                <c:pt idx="51">
                  <c:v>Unix OS</c:v>
                </c:pt>
                <c:pt idx="52">
                  <c:v>VMware VI</c:v>
                </c:pt>
                <c:pt idx="53">
                  <c:v>WebLogic</c:v>
                </c:pt>
                <c:pt idx="54">
                  <c:v>0</c:v>
                </c:pt>
                <c:pt idx="55">
                  <c:v>WebSphere Applications</c:v>
                </c:pt>
                <c:pt idx="56">
                  <c:v>WebSphere Infrastructure Manager</c:v>
                </c:pt>
                <c:pt idx="57">
                  <c:v>WebSphere MQ</c:v>
                </c:pt>
                <c:pt idx="58">
                  <c:v>Windows OS</c:v>
                </c:pt>
                <c:pt idx="59">
                  <c:v>Data Collectors</c:v>
                </c:pt>
              </c:strCache>
            </c:strRef>
          </c:cat>
          <c:val>
            <c:numRef>
              <c:f>(PrefetchDBSummary!$O$12:$O$23,PrefetchDBSummary!$O$26:$O$69,PrefetchDBSummary!$O$72:$O$74,PrefetchDBSummary!$O$78)</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417.8580963134765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1539.9252685546871</c:v>
                </c:pt>
                <c:pt idx="47">
                  <c:v>10742.242675781246</c:v>
                </c:pt>
                <c:pt idx="48">
                  <c:v>0</c:v>
                </c:pt>
                <c:pt idx="49">
                  <c:v>0</c:v>
                </c:pt>
                <c:pt idx="50">
                  <c:v>0</c:v>
                </c:pt>
                <c:pt idx="51">
                  <c:v>704.5709106445312</c:v>
                </c:pt>
                <c:pt idx="52">
                  <c:v>0</c:v>
                </c:pt>
                <c:pt idx="53">
                  <c:v>0</c:v>
                </c:pt>
                <c:pt idx="55">
                  <c:v>0</c:v>
                </c:pt>
                <c:pt idx="56">
                  <c:v>0</c:v>
                </c:pt>
                <c:pt idx="57">
                  <c:v>0</c:v>
                </c:pt>
                <c:pt idx="58">
                  <c:v>421.2480152430158</c:v>
                </c:pt>
                <c:pt idx="59">
                  <c:v>0</c:v>
                </c:pt>
              </c:numCache>
            </c:numRef>
          </c:val>
        </c:ser>
        <c:gapWidth val="100"/>
        <c:axId val="5413375"/>
        <c:axId val="48720376"/>
      </c:barChart>
      <c:catAx>
        <c:axId val="5413375"/>
        <c:scaling>
          <c:orientation val="minMax"/>
        </c:scaling>
        <c:axPos val="b"/>
        <c:title>
          <c:tx>
            <c:rich>
              <a:bodyPr vert="horz" rot="0" anchor="ctr"/>
              <a:lstStyle/>
              <a:p>
                <a:pPr algn="ctr">
                  <a:defRPr/>
                </a:pPr>
                <a:r>
                  <a:rPr lang="en-US" cap="none" sz="1000" b="0" i="0" u="none" baseline="0">
                    <a:solidFill>
                      <a:srgbClr val="333333"/>
                    </a:solidFill>
                  </a:rPr>
                  <a:t>Agent Type</a:t>
                </a:r>
              </a:p>
            </c:rich>
          </c:tx>
          <c:layout>
            <c:manualLayout>
              <c:xMode val="factor"/>
              <c:yMode val="factor"/>
              <c:x val="-0.06975"/>
              <c:y val="0"/>
            </c:manualLayout>
          </c:layout>
          <c:overlay val="0"/>
          <c:spPr>
            <a:noFill/>
            <a:ln>
              <a:noFill/>
            </a:ln>
          </c:spPr>
        </c:title>
        <c:delete val="0"/>
        <c:numFmt formatCode="General" sourceLinked="1"/>
        <c:majorTickMark val="out"/>
        <c:minorTickMark val="none"/>
        <c:tickLblPos val="nextTo"/>
        <c:spPr>
          <a:ln w="3175">
            <a:solidFill>
              <a:srgbClr val="E3E3E3"/>
            </a:solidFill>
          </a:ln>
        </c:spPr>
        <c:txPr>
          <a:bodyPr vert="horz" rot="-5400000"/>
          <a:lstStyle/>
          <a:p>
            <a:pPr>
              <a:defRPr lang="en-US" cap="none" sz="900" b="0" i="0" u="none" baseline="0">
                <a:solidFill>
                  <a:srgbClr val="333333"/>
                </a:solidFill>
              </a:defRPr>
            </a:pPr>
          </a:p>
        </c:txPr>
        <c:crossAx val="48720376"/>
        <c:crosses val="autoZero"/>
        <c:auto val="1"/>
        <c:lblOffset val="100"/>
        <c:tickLblSkip val="2"/>
        <c:noMultiLvlLbl val="0"/>
      </c:catAx>
      <c:valAx>
        <c:axId val="48720376"/>
        <c:scaling>
          <c:orientation val="minMax"/>
        </c:scaling>
        <c:axPos val="l"/>
        <c:title>
          <c:tx>
            <c:rich>
              <a:bodyPr vert="horz" rot="-5400000" anchor="ctr"/>
              <a:lstStyle/>
              <a:p>
                <a:pPr algn="ctr">
                  <a:defRPr/>
                </a:pPr>
                <a:r>
                  <a:rPr lang="en-US" cap="none" sz="1000" b="0" i="0" u="none" baseline="0">
                    <a:solidFill>
                      <a:srgbClr val="333333"/>
                    </a:solidFill>
                  </a:rPr>
                  <a:t>Disk space usage by agent type (MB)</a:t>
                </a:r>
              </a:p>
            </c:rich>
          </c:tx>
          <c:layout>
            <c:manualLayout>
              <c:xMode val="factor"/>
              <c:yMode val="factor"/>
              <c:x val="-0.0095"/>
              <c:y val="0"/>
            </c:manualLayout>
          </c:layout>
          <c:overlay val="0"/>
          <c:spPr>
            <a:noFill/>
            <a:ln>
              <a:noFill/>
            </a:ln>
          </c:spPr>
        </c:title>
        <c:majorGridlines>
          <c:spPr>
            <a:ln w="3175">
              <a:solidFill>
                <a:srgbClr val="E3E3E3"/>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5413375"/>
        <c:crossesAt val="1"/>
        <c:crossBetween val="between"/>
        <c:dispUnits/>
      </c:valAx>
      <c:spPr>
        <a:noFill/>
        <a:ln>
          <a:noFill/>
        </a:ln>
      </c:spPr>
    </c:plotArea>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Chart 1"/>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A4" sqref="A4"/>
    </sheetView>
  </sheetViews>
  <sheetFormatPr defaultColWidth="9.140625" defaultRowHeight="12.75"/>
  <cols>
    <col min="1" max="1" width="99.140625" style="85" customWidth="1"/>
    <col min="2" max="2" width="11.7109375" style="0" customWidth="1"/>
  </cols>
  <sheetData>
    <row r="1" ht="12.75">
      <c r="A1" s="83" t="s">
        <v>2170</v>
      </c>
    </row>
    <row r="2" ht="12.75">
      <c r="A2" s="85" t="s">
        <v>695</v>
      </c>
    </row>
    <row r="4" ht="12.75">
      <c r="A4" s="84" t="s">
        <v>1877</v>
      </c>
    </row>
    <row r="5" ht="12.75">
      <c r="H5" s="49"/>
    </row>
    <row r="6" spans="1:8" ht="38.25">
      <c r="A6" s="83" t="s">
        <v>2023</v>
      </c>
      <c r="H6" s="49"/>
    </row>
    <row r="7" spans="1:8" ht="51">
      <c r="A7" s="83" t="s">
        <v>2006</v>
      </c>
      <c r="H7" s="49"/>
    </row>
    <row r="8" ht="12.75">
      <c r="H8" s="49"/>
    </row>
    <row r="9" spans="1:8" ht="25.5">
      <c r="A9" s="83" t="s">
        <v>2007</v>
      </c>
      <c r="H9" s="49"/>
    </row>
    <row r="10" ht="12.75">
      <c r="H10" s="49"/>
    </row>
    <row r="11" spans="1:8" ht="12.75">
      <c r="A11" s="86" t="s">
        <v>696</v>
      </c>
      <c r="H11" s="49"/>
    </row>
    <row r="12" spans="1:8" ht="12.75">
      <c r="A12" s="89" t="s">
        <v>2021</v>
      </c>
      <c r="H12" s="49"/>
    </row>
    <row r="13" spans="1:8" ht="39.75" customHeight="1">
      <c r="A13" s="83" t="s">
        <v>2022</v>
      </c>
      <c r="H13" s="49"/>
    </row>
    <row r="14" spans="1:8" ht="12.75">
      <c r="A14" s="83" t="s">
        <v>2009</v>
      </c>
      <c r="H14" s="49"/>
    </row>
    <row r="15" spans="1:8" ht="12.75">
      <c r="A15" s="83"/>
      <c r="H15" s="49"/>
    </row>
    <row r="16" ht="12" customHeight="1">
      <c r="A16" s="89" t="s">
        <v>2010</v>
      </c>
    </row>
    <row r="17" spans="1:8" ht="38.25">
      <c r="A17" s="83" t="s">
        <v>2008</v>
      </c>
      <c r="H17" s="49"/>
    </row>
    <row r="18" spans="1:8" ht="25.5">
      <c r="A18" s="83" t="s">
        <v>2011</v>
      </c>
      <c r="H18" s="49"/>
    </row>
    <row r="19" ht="12.75">
      <c r="H19" s="49"/>
    </row>
    <row r="20" spans="1:8" ht="12.75">
      <c r="A20" s="87" t="s">
        <v>2012</v>
      </c>
      <c r="H20" s="49"/>
    </row>
    <row r="21" spans="1:8" ht="63.75">
      <c r="A21" s="83" t="s">
        <v>2013</v>
      </c>
      <c r="H21" s="49"/>
    </row>
    <row r="22" ht="12.75">
      <c r="H22" s="49"/>
    </row>
    <row r="23" spans="1:8" ht="12.75">
      <c r="A23" s="86" t="s">
        <v>697</v>
      </c>
      <c r="H23" s="49"/>
    </row>
    <row r="24" spans="1:8" ht="12.75">
      <c r="A24" s="90" t="s">
        <v>2014</v>
      </c>
      <c r="H24" s="49"/>
    </row>
    <row r="25" spans="1:8" ht="12.75">
      <c r="A25" s="91" t="s">
        <v>2015</v>
      </c>
      <c r="H25" s="49"/>
    </row>
    <row r="26" s="50" customFormat="1" ht="12.75">
      <c r="A26" s="83" t="s">
        <v>2016</v>
      </c>
    </row>
    <row r="27" s="50" customFormat="1" ht="12.75">
      <c r="A27" s="83" t="s">
        <v>2017</v>
      </c>
    </row>
    <row r="28" spans="1:8" ht="15.75" customHeight="1">
      <c r="A28" s="83" t="s">
        <v>2018</v>
      </c>
      <c r="H28" s="49"/>
    </row>
    <row r="29" spans="1:8" ht="25.5">
      <c r="A29" s="83" t="s">
        <v>2019</v>
      </c>
      <c r="H29" s="49"/>
    </row>
    <row r="30" spans="1:8" ht="12.75">
      <c r="A30" s="83" t="s">
        <v>2020</v>
      </c>
      <c r="H30" s="49"/>
    </row>
    <row r="31" spans="1:8" ht="12.75">
      <c r="A31" s="88"/>
      <c r="H31" s="49"/>
    </row>
    <row r="32" spans="1:8" ht="12.75">
      <c r="A32" s="88"/>
      <c r="H32" s="49"/>
    </row>
    <row r="33" ht="12.75">
      <c r="H33" s="49"/>
    </row>
    <row r="34" ht="12.75">
      <c r="A34" s="85" t="s">
        <v>698</v>
      </c>
    </row>
    <row r="35" s="50" customFormat="1" ht="12.75">
      <c r="A35" s="83" t="s">
        <v>883</v>
      </c>
    </row>
    <row r="36" ht="12.75">
      <c r="A36" s="83" t="s">
        <v>891</v>
      </c>
    </row>
    <row r="37" ht="12.75">
      <c r="A37" s="83" t="s">
        <v>892</v>
      </c>
    </row>
    <row r="38" ht="12.75">
      <c r="A38" s="83" t="s">
        <v>1310</v>
      </c>
    </row>
    <row r="39" ht="12.75">
      <c r="A39" s="83" t="s">
        <v>2003</v>
      </c>
    </row>
    <row r="40" ht="12.75">
      <c r="A40" s="83" t="s">
        <v>2076</v>
      </c>
    </row>
    <row r="41" ht="12.75">
      <c r="A41" s="83" t="s">
        <v>2249</v>
      </c>
    </row>
    <row r="42" ht="12.75">
      <c r="A42" s="83" t="s">
        <v>2250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34"/>
  <sheetViews>
    <sheetView zoomScalePageLayoutView="0" workbookViewId="0" topLeftCell="A1">
      <selection activeCell="A4" sqref="A4"/>
    </sheetView>
  </sheetViews>
  <sheetFormatPr defaultColWidth="9.140625" defaultRowHeight="12.75"/>
  <cols>
    <col min="1" max="1" width="10.8515625" style="0" customWidth="1"/>
    <col min="2" max="2" width="16.421875" style="0" customWidth="1"/>
    <col min="4" max="4" width="18.28125" style="0" customWidth="1"/>
    <col min="5" max="5" width="7.7109375" style="0" customWidth="1"/>
    <col min="6" max="6" width="12.140625" style="0" customWidth="1"/>
    <col min="8" max="8" width="12.00390625" style="0" customWidth="1"/>
    <col min="9" max="9" width="12.140625" style="0" customWidth="1"/>
  </cols>
  <sheetData>
    <row r="1" spans="1:28" s="1" customFormat="1" ht="12.75">
      <c r="A1" s="42" t="s">
        <v>888</v>
      </c>
      <c r="B1" s="42"/>
      <c r="H1" s="51">
        <v>43367</v>
      </c>
      <c r="J1" s="2"/>
      <c r="Q1"/>
      <c r="R1"/>
      <c r="AA1" s="9"/>
      <c r="AB1" s="9"/>
    </row>
    <row r="3" ht="12.75">
      <c r="A3" s="56" t="s">
        <v>881</v>
      </c>
    </row>
    <row r="4" spans="1:2" ht="12.75">
      <c r="A4" s="19">
        <v>10</v>
      </c>
      <c r="B4" s="7" t="s">
        <v>833</v>
      </c>
    </row>
    <row r="5" spans="1:2" ht="12.75">
      <c r="A5" s="19">
        <v>15</v>
      </c>
      <c r="B5" s="7" t="s">
        <v>884</v>
      </c>
    </row>
    <row r="6" spans="1:2" ht="12.75">
      <c r="A6" s="19">
        <v>5</v>
      </c>
      <c r="B6" s="7" t="s">
        <v>887</v>
      </c>
    </row>
    <row r="7" spans="2:3" ht="12.75">
      <c r="B7" s="32">
        <f>A4*A5*A6</f>
        <v>750</v>
      </c>
      <c r="C7" s="7" t="s">
        <v>882</v>
      </c>
    </row>
    <row r="8" spans="1:3" ht="12.75">
      <c r="A8" s="19">
        <v>4</v>
      </c>
      <c r="B8" s="7" t="s">
        <v>2248</v>
      </c>
      <c r="C8" s="7"/>
    </row>
    <row r="9" spans="1:2" ht="12.75">
      <c r="A9" s="19">
        <v>1000000</v>
      </c>
      <c r="B9" s="7" t="s">
        <v>1039</v>
      </c>
    </row>
    <row r="10" spans="1:2" ht="12.75">
      <c r="A10" s="7"/>
      <c r="B10" s="7"/>
    </row>
    <row r="11" spans="1:12" ht="12.75">
      <c r="A11" s="6" t="s">
        <v>885</v>
      </c>
      <c r="B11" s="1"/>
      <c r="C11" s="1"/>
      <c r="D11" s="1"/>
      <c r="E11" s="1"/>
      <c r="F11" s="1"/>
      <c r="G11" s="1"/>
      <c r="H11" s="1"/>
      <c r="I11" s="1"/>
      <c r="J11" s="1"/>
      <c r="K11" s="1"/>
      <c r="L11" s="1"/>
    </row>
    <row r="12" spans="1:12" ht="12.75">
      <c r="A12" s="34" t="s">
        <v>708</v>
      </c>
      <c r="B12" s="1"/>
      <c r="C12" s="7" t="s">
        <v>700</v>
      </c>
      <c r="D12" s="1"/>
      <c r="E12" s="1"/>
      <c r="F12" s="7" t="s">
        <v>587</v>
      </c>
      <c r="G12" s="3"/>
      <c r="H12" s="1"/>
      <c r="I12" s="33" t="s">
        <v>599</v>
      </c>
      <c r="J12" s="1"/>
      <c r="L12" s="1"/>
    </row>
    <row r="13" spans="1:12" ht="12.75">
      <c r="A13" s="32">
        <f>B7+A9/(24*3600)</f>
        <v>761.574074074074</v>
      </c>
      <c r="B13" s="33" t="s">
        <v>600</v>
      </c>
      <c r="C13" s="36">
        <f>(A13*60*60*IF($A$8&gt;24,24,$A$8)*727)/1024/1024/1024</f>
        <v>7.425217578808465</v>
      </c>
      <c r="D13" s="38" t="s">
        <v>703</v>
      </c>
      <c r="E13" s="1"/>
      <c r="F13" s="32">
        <f>(A13*727/1024)</f>
        <v>540.687843605324</v>
      </c>
      <c r="G13" s="33" t="s">
        <v>595</v>
      </c>
      <c r="H13" s="1"/>
      <c r="I13" s="41">
        <f>(A13*137)/1024</f>
        <v>101.89028139467592</v>
      </c>
      <c r="J13" s="33" t="s">
        <v>595</v>
      </c>
      <c r="L13" s="1"/>
    </row>
    <row r="14" spans="1:12" ht="12.75">
      <c r="A14" s="25">
        <f>A13*60</f>
        <v>45694.44444444444</v>
      </c>
      <c r="B14" s="33" t="s">
        <v>601</v>
      </c>
      <c r="E14" s="1"/>
      <c r="F14" s="41">
        <f>F13*60/1024</f>
        <v>31.680928336249455</v>
      </c>
      <c r="G14" s="33" t="s">
        <v>596</v>
      </c>
      <c r="H14" s="1"/>
      <c r="I14" s="31">
        <f>I13*60/1024</f>
        <v>5.970133675469293</v>
      </c>
      <c r="J14" s="33" t="s">
        <v>596</v>
      </c>
      <c r="L14" s="1"/>
    </row>
    <row r="15" spans="1:12" ht="12.75">
      <c r="A15" s="1"/>
      <c r="B15" s="1"/>
      <c r="C15" s="1"/>
      <c r="D15" s="37"/>
      <c r="E15" s="1"/>
      <c r="F15" s="41">
        <f>F14*60</f>
        <v>1900.8557001749673</v>
      </c>
      <c r="G15" s="33" t="s">
        <v>597</v>
      </c>
      <c r="H15" s="1"/>
      <c r="I15" s="48">
        <f>I13*8*1024/1000000</f>
        <v>0.8346851851851852</v>
      </c>
      <c r="J15" s="33" t="s">
        <v>704</v>
      </c>
      <c r="L15" s="1"/>
    </row>
    <row r="16" spans="1:12" ht="12.75">
      <c r="A16" s="1"/>
      <c r="B16" s="1"/>
      <c r="C16" s="1"/>
      <c r="D16" s="1"/>
      <c r="E16" s="1"/>
      <c r="H16" s="1"/>
      <c r="L16" s="1"/>
    </row>
    <row r="17" spans="1:12" ht="12.75">
      <c r="A17" s="6" t="s">
        <v>886</v>
      </c>
      <c r="B17" s="1"/>
      <c r="C17" s="1"/>
      <c r="D17" s="1"/>
      <c r="E17" s="1"/>
      <c r="F17" s="1"/>
      <c r="G17" s="1"/>
      <c r="H17" s="1"/>
      <c r="I17" s="1"/>
      <c r="J17" s="1"/>
      <c r="K17" s="1"/>
      <c r="L17" s="1"/>
    </row>
    <row r="18" spans="1:12" ht="12.75">
      <c r="A18" s="34" t="s">
        <v>708</v>
      </c>
      <c r="B18" s="1"/>
      <c r="C18" s="7" t="s">
        <v>700</v>
      </c>
      <c r="D18" s="1"/>
      <c r="E18" s="1"/>
      <c r="F18" s="7" t="s">
        <v>587</v>
      </c>
      <c r="G18" s="3"/>
      <c r="H18" s="1"/>
      <c r="I18" s="1"/>
      <c r="J18" s="33"/>
      <c r="K18" s="1"/>
      <c r="L18" s="1"/>
    </row>
    <row r="19" spans="1:12" ht="12.75">
      <c r="A19" s="32">
        <f>A4*A5</f>
        <v>150</v>
      </c>
      <c r="B19" s="33" t="s">
        <v>600</v>
      </c>
      <c r="C19" s="20">
        <f>F21*24*11/1024</f>
        <v>13.011395931243896</v>
      </c>
      <c r="D19" s="13" t="s">
        <v>586</v>
      </c>
      <c r="E19" s="1"/>
      <c r="F19" s="32">
        <f>(A19*98)/(1024)</f>
        <v>14.35546875</v>
      </c>
      <c r="G19" s="33" t="s">
        <v>595</v>
      </c>
      <c r="H19" s="1"/>
      <c r="I19" s="1"/>
      <c r="K19" s="33"/>
      <c r="L19" s="1"/>
    </row>
    <row r="20" spans="1:12" ht="12.75">
      <c r="A20" s="25">
        <f>A19*60</f>
        <v>9000</v>
      </c>
      <c r="B20" s="33" t="s">
        <v>601</v>
      </c>
      <c r="C20" s="36">
        <f>C19*2</f>
        <v>26.022791862487793</v>
      </c>
      <c r="D20" s="38" t="s">
        <v>703</v>
      </c>
      <c r="E20" s="1"/>
      <c r="F20" s="41">
        <f>F19*60/1024</f>
        <v>0.8411407470703125</v>
      </c>
      <c r="G20" s="33" t="s">
        <v>596</v>
      </c>
      <c r="H20" s="1"/>
      <c r="I20" s="1"/>
      <c r="K20" s="33"/>
      <c r="L20" s="1"/>
    </row>
    <row r="21" spans="1:12" ht="12.75">
      <c r="A21" s="1"/>
      <c r="B21" s="1"/>
      <c r="C21" s="1"/>
      <c r="D21" s="37"/>
      <c r="E21" s="1"/>
      <c r="F21" s="41">
        <f>F20*60</f>
        <v>50.46844482421875</v>
      </c>
      <c r="G21" s="33" t="s">
        <v>597</v>
      </c>
      <c r="H21" s="1"/>
      <c r="I21" s="1"/>
      <c r="K21" s="33"/>
      <c r="L21" s="1"/>
    </row>
    <row r="22" spans="1:12" ht="12.75">
      <c r="A22" s="1"/>
      <c r="B22" s="1"/>
      <c r="C22" s="1"/>
      <c r="D22" s="1"/>
      <c r="E22" s="1"/>
      <c r="H22" s="1"/>
      <c r="I22" s="1"/>
      <c r="L22" s="1"/>
    </row>
    <row r="23" spans="8:12" ht="12.75">
      <c r="H23" s="1"/>
      <c r="I23" s="1"/>
      <c r="J23" s="1"/>
      <c r="K23" s="1"/>
      <c r="L23" s="1"/>
    </row>
    <row r="24" spans="8:12" ht="12.75">
      <c r="H24" s="1"/>
      <c r="I24" s="1"/>
      <c r="J24" s="33"/>
      <c r="K24" s="1"/>
      <c r="L24" s="1"/>
    </row>
    <row r="25" spans="8:12" ht="12.75">
      <c r="H25" s="1"/>
      <c r="I25" s="1"/>
      <c r="K25" s="33"/>
      <c r="L25" s="1"/>
    </row>
    <row r="26" spans="8:12" ht="12.75">
      <c r="H26" s="1"/>
      <c r="I26" s="1"/>
      <c r="K26" s="33"/>
      <c r="L26" s="1"/>
    </row>
    <row r="27" spans="8:12" ht="12.75">
      <c r="H27" s="1"/>
      <c r="I27" s="1"/>
      <c r="K27" s="33"/>
      <c r="L27" s="1"/>
    </row>
    <row r="28" spans="1:12" ht="12.75">
      <c r="A28" s="1"/>
      <c r="B28" s="1"/>
      <c r="C28" s="1"/>
      <c r="D28" s="1"/>
      <c r="E28" s="1"/>
      <c r="H28" s="1"/>
      <c r="I28" s="1"/>
      <c r="L28" s="1"/>
    </row>
    <row r="34" spans="1:12" ht="12.75">
      <c r="A34" s="1"/>
      <c r="B34" s="1"/>
      <c r="C34" s="1"/>
      <c r="D34" s="1"/>
      <c r="E34" s="1"/>
      <c r="F34" s="1"/>
      <c r="G34" s="1"/>
      <c r="H34" s="1"/>
      <c r="I34" s="1"/>
      <c r="J34" s="1"/>
      <c r="K34" s="1"/>
      <c r="L34" s="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E106"/>
  <sheetViews>
    <sheetView zoomScalePageLayoutView="0" workbookViewId="0" topLeftCell="A1">
      <pane ySplit="11" topLeftCell="A12" activePane="bottomLeft" state="frozen"/>
      <selection pane="topLeft" activeCell="A1" sqref="A1"/>
      <selection pane="bottomLeft" activeCell="C12" sqref="C12"/>
    </sheetView>
  </sheetViews>
  <sheetFormatPr defaultColWidth="9.140625" defaultRowHeight="12.75"/>
  <cols>
    <col min="1" max="1" width="10.57421875" style="1" customWidth="1"/>
    <col min="2" max="2" width="33.140625" style="1" bestFit="1" customWidth="1"/>
    <col min="3" max="3" width="11.00390625" style="1" customWidth="1"/>
    <col min="4" max="4" width="12.8515625" style="1" customWidth="1"/>
    <col min="5" max="5" width="10.00390625" style="1" customWidth="1"/>
    <col min="6" max="6" width="43.140625" style="1" customWidth="1"/>
    <col min="7" max="7" width="12.421875" style="1" customWidth="1"/>
    <col min="8" max="8" width="12.7109375" style="1" customWidth="1"/>
    <col min="9" max="9" width="11.8515625" style="1" customWidth="1"/>
    <col min="10" max="10" width="14.421875" style="1" customWidth="1"/>
    <col min="11" max="11" width="13.140625" style="1" customWidth="1"/>
    <col min="12" max="12" width="11.7109375" style="1" customWidth="1"/>
    <col min="13" max="13" width="13.57421875" style="1" customWidth="1"/>
    <col min="14" max="14" width="14.28125" style="1" customWidth="1"/>
    <col min="15" max="15" width="15.8515625" style="1" customWidth="1"/>
    <col min="16" max="28" width="9.140625" style="1" customWidth="1"/>
    <col min="29" max="30" width="9.140625" style="0" customWidth="1"/>
    <col min="31" max="31" width="9.140625" style="1" customWidth="1"/>
    <col min="32" max="16384" width="9.140625" style="1" customWidth="1"/>
  </cols>
  <sheetData>
    <row r="1" spans="1:30" ht="12.75">
      <c r="A1" s="42" t="s">
        <v>889</v>
      </c>
      <c r="B1" s="42"/>
      <c r="D1" s="11"/>
      <c r="F1" s="51">
        <v>43367</v>
      </c>
      <c r="H1" s="2"/>
      <c r="I1" s="2"/>
      <c r="J1" s="2"/>
      <c r="AC1" s="9"/>
      <c r="AD1" s="9"/>
    </row>
    <row r="2" spans="3:10" ht="12.75">
      <c r="C2" s="2"/>
      <c r="D2" s="72"/>
      <c r="F2" s="2"/>
      <c r="G2" s="2"/>
      <c r="H2" s="2"/>
      <c r="I2" s="2"/>
      <c r="J2" s="2"/>
    </row>
    <row r="3" spans="1:4" ht="12.75">
      <c r="A3" s="6" t="s">
        <v>890</v>
      </c>
      <c r="D3" s="72"/>
    </row>
    <row r="4" spans="1:11" ht="12.75">
      <c r="A4" s="34" t="s">
        <v>708</v>
      </c>
      <c r="B4" s="1"/>
      <c r="C4" s="7" t="s">
        <v>700</v>
      </c>
      <c r="D4" s="72"/>
      <c r="G4" s="7" t="s">
        <v>587</v>
      </c>
      <c r="H4" s="3"/>
      <c r="K4" s="33" t="s">
        <v>599</v>
      </c>
    </row>
    <row r="5" spans="1:30" ht="12.75">
      <c r="A5" s="32">
        <f>A6/60</f>
        <v>158.64166666666668</v>
      </c>
      <c r="B5" s="33" t="s">
        <v>600</v>
      </c>
      <c r="C5" s="20">
        <f>SUM(O:O)/1024</f>
        <v>13.501801725133747</v>
      </c>
      <c r="D5" s="13" t="s">
        <v>586</v>
      </c>
      <c r="G5" s="32">
        <f>G6/60</f>
        <v>85.36182205978066</v>
      </c>
      <c r="H5" s="33" t="s">
        <v>595</v>
      </c>
      <c r="K5" s="41">
        <f>SUM(J:J)/1024</f>
        <v>92.63396318381852</v>
      </c>
      <c r="L5" s="33" t="s">
        <v>595</v>
      </c>
      <c r="AC5" s="44">
        <v>0.15</v>
      </c>
      <c r="AD5" s="7" t="s">
        <v>706</v>
      </c>
    </row>
    <row r="6" spans="1:30" ht="12.75">
      <c r="A6" s="40">
        <f>SUM(L:L)</f>
        <v>9518.5</v>
      </c>
      <c r="B6" s="35" t="s">
        <v>601</v>
      </c>
      <c r="C6" s="36">
        <f>C5*1.5</f>
        <v>20.25270258770062</v>
      </c>
      <c r="D6" s="38" t="s">
        <v>703</v>
      </c>
      <c r="G6" s="41">
        <f>SUM(M:M)</f>
        <v>5121.70932358684</v>
      </c>
      <c r="H6" s="33" t="s">
        <v>610</v>
      </c>
      <c r="K6" s="31">
        <f>K5*60/1024</f>
        <v>5.427771280301867</v>
      </c>
      <c r="L6" s="33" t="s">
        <v>596</v>
      </c>
      <c r="AC6">
        <v>7500</v>
      </c>
      <c r="AD6" s="7" t="s">
        <v>702</v>
      </c>
    </row>
    <row r="7" spans="1:30" ht="12.75">
      <c r="A7" s="25">
        <f>SUM(K:K)*60</f>
        <v>507484.1803242935</v>
      </c>
      <c r="B7" s="33" t="s">
        <v>602</v>
      </c>
      <c r="D7" s="73"/>
      <c r="G7" s="31">
        <f>G6*60/1024</f>
        <v>300.1001556789164</v>
      </c>
      <c r="H7" s="33" t="s">
        <v>597</v>
      </c>
      <c r="K7" s="31">
        <f>K6*60</f>
        <v>325.666276818112</v>
      </c>
      <c r="L7" s="33" t="s">
        <v>597</v>
      </c>
      <c r="AC7">
        <v>5000</v>
      </c>
      <c r="AD7" s="7" t="s">
        <v>707</v>
      </c>
    </row>
    <row r="8" spans="1:12" ht="12.75">
      <c r="A8" s="46">
        <f>A7*24/1000000</f>
        <v>12.179620327783045</v>
      </c>
      <c r="B8" s="33" t="s">
        <v>611</v>
      </c>
      <c r="D8" s="35"/>
      <c r="G8" s="32">
        <f>G7/1024*24</f>
        <v>7.033597398724603</v>
      </c>
      <c r="H8" s="33" t="s">
        <v>598</v>
      </c>
      <c r="K8" s="32">
        <f>K7/1024*24</f>
        <v>7.6328033629245</v>
      </c>
      <c r="L8" s="33" t="s">
        <v>598</v>
      </c>
    </row>
    <row r="9" spans="4:12" ht="12.75">
      <c r="D9" s="72"/>
      <c r="H9" s="33"/>
      <c r="K9" s="48">
        <f>SUM(J:J)*8/1000000</f>
        <v>0.7588574264018413</v>
      </c>
      <c r="L9" s="33" t="s">
        <v>704</v>
      </c>
    </row>
    <row r="10" spans="3:8" ht="12.75">
      <c r="C10" s="81">
        <v>8</v>
      </c>
      <c r="D10" s="7" t="s">
        <v>1934</v>
      </c>
      <c r="H10" s="33"/>
    </row>
    <row r="11" spans="1:31" s="8" customFormat="1" ht="51">
      <c r="A11" s="66" t="s">
        <v>573</v>
      </c>
      <c r="B11" s="67" t="s">
        <v>83</v>
      </c>
      <c r="C11" s="67" t="s">
        <v>1311</v>
      </c>
      <c r="D11" s="67" t="s">
        <v>2043</v>
      </c>
      <c r="E11" s="67" t="s">
        <v>589</v>
      </c>
      <c r="F11" s="67" t="s">
        <v>1331</v>
      </c>
      <c r="G11" s="67" t="s">
        <v>584</v>
      </c>
      <c r="H11" s="67" t="s">
        <v>585</v>
      </c>
      <c r="I11" s="67" t="s">
        <v>591</v>
      </c>
      <c r="J11" s="67" t="s">
        <v>592</v>
      </c>
      <c r="K11" s="67" t="s">
        <v>605</v>
      </c>
      <c r="L11" s="67" t="s">
        <v>606</v>
      </c>
      <c r="M11" s="67" t="s">
        <v>609</v>
      </c>
      <c r="N11" s="67" t="s">
        <v>593</v>
      </c>
      <c r="O11" s="67" t="s">
        <v>612</v>
      </c>
      <c r="R11" s="1"/>
      <c r="S11" s="1"/>
      <c r="T11" s="1"/>
      <c r="U11" s="1"/>
      <c r="V11" s="1"/>
      <c r="W11" s="1"/>
      <c r="AA11"/>
      <c r="AD11" t="s">
        <v>705</v>
      </c>
      <c r="AE11"/>
    </row>
    <row r="12" spans="1:31" ht="12.75">
      <c r="A12" s="18" t="s">
        <v>1333</v>
      </c>
      <c r="B12" s="18" t="s">
        <v>1334</v>
      </c>
      <c r="C12" s="77"/>
      <c r="D12" s="7"/>
      <c r="E12" s="19">
        <v>100</v>
      </c>
      <c r="F12" s="7" t="s">
        <v>1971</v>
      </c>
      <c r="G12" s="63">
        <f aca="true" t="shared" si="0" ref="G12:G23">IF($C$75&gt;0,L12/SUM(L$1:L$65536),0)</f>
        <v>0</v>
      </c>
      <c r="H12" s="63">
        <f aca="true" t="shared" si="1" ref="H12:H23">IF($C$75&gt;0,O12/SUM(O$1:O$65536),0)</f>
        <v>0</v>
      </c>
      <c r="I12" s="64">
        <f>SUMIF(PrefetchDBDetails!$A:$A,$A12,PrefetchDBDetails!J:J)*(1+$AC$5)+IF(C12&gt;0,$AC$6/AD12+$AC$7/60,0)</f>
        <v>0</v>
      </c>
      <c r="J12" s="64">
        <f>I12*(C12+D12)</f>
        <v>0</v>
      </c>
      <c r="K12" s="64">
        <f>SUMIF(PrefetchDBDetails!$A:$A,$A12,PrefetchDBDetails!K:K)</f>
        <v>0</v>
      </c>
      <c r="L12" s="65">
        <f>SUMIF(PrefetchDBDetails!$A:$A,$A12,PrefetchDBDetails!L:L)</f>
        <v>0</v>
      </c>
      <c r="M12" s="64">
        <f>SUMIF(PrefetchDBDetails!$A:$A,$A12,PrefetchDBDetails!M:M)</f>
        <v>0</v>
      </c>
      <c r="N12" s="65">
        <f>SUMIF(PrefetchDBDetails!$A:$A,$A12,PrefetchDBDetails!N:N)</f>
        <v>0</v>
      </c>
      <c r="O12" s="64">
        <f>SUMIF(PrefetchDBDetails!$A:$A,$A12,PrefetchDBDetails!O:O)</f>
        <v>0</v>
      </c>
      <c r="AA12"/>
      <c r="AC12" s="1"/>
      <c r="AD12">
        <v>60</v>
      </c>
      <c r="AE12"/>
    </row>
    <row r="13" spans="1:31" ht="12.75">
      <c r="A13" s="7" t="s">
        <v>2172</v>
      </c>
      <c r="B13" s="7" t="s">
        <v>2173</v>
      </c>
      <c r="C13" s="77"/>
      <c r="D13" s="7"/>
      <c r="E13" s="19">
        <v>100</v>
      </c>
      <c r="F13" s="7" t="s">
        <v>739</v>
      </c>
      <c r="G13" s="63">
        <f t="shared" si="0"/>
        <v>0</v>
      </c>
      <c r="H13" s="63">
        <f t="shared" si="1"/>
        <v>0</v>
      </c>
      <c r="I13" s="64">
        <f>SUMIF(PrefetchDBDetails!$A:$A,$A13,PrefetchDBDetails!J:J)*(1+$AC$5)+IF(C13&gt;0,$AC$6/AD13+$AC$7/60,0)</f>
        <v>0</v>
      </c>
      <c r="J13" s="64">
        <f>I13*(C13+D13)</f>
        <v>0</v>
      </c>
      <c r="K13" s="64">
        <f>SUMIF(PrefetchDBDetails!$A:$A,$A13,PrefetchDBDetails!K:K)</f>
        <v>0</v>
      </c>
      <c r="L13" s="65">
        <f>SUMIF(PrefetchDBDetails!$A:$A,$A13,PrefetchDBDetails!L:L)</f>
        <v>0</v>
      </c>
      <c r="M13" s="64">
        <f>SUMIF(PrefetchDBDetails!$A:$A,$A13,PrefetchDBDetails!M:M)</f>
        <v>0</v>
      </c>
      <c r="N13" s="65">
        <f>SUMIF(PrefetchDBDetails!$A:$A,$A13,PrefetchDBDetails!N:N)</f>
        <v>0</v>
      </c>
      <c r="O13" s="64">
        <f>SUMIF(PrefetchDBDetails!$A:$A,$A13,PrefetchDBDetails!O:O)</f>
        <v>0</v>
      </c>
      <c r="AA13"/>
      <c r="AC13" s="1"/>
      <c r="AD13">
        <v>60</v>
      </c>
      <c r="AE13"/>
    </row>
    <row r="14" spans="1:31" ht="12.75">
      <c r="A14" s="7" t="s">
        <v>1622</v>
      </c>
      <c r="B14" s="13" t="s">
        <v>1623</v>
      </c>
      <c r="C14" s="76"/>
      <c r="D14" s="7"/>
      <c r="E14" s="7"/>
      <c r="F14" s="7"/>
      <c r="G14" s="10">
        <f t="shared" si="0"/>
        <v>0</v>
      </c>
      <c r="H14" s="10">
        <f t="shared" si="1"/>
        <v>0</v>
      </c>
      <c r="I14" s="64">
        <f>SUMIF(PrefetchDBDetails!$A:$A,$A14,PrefetchDBDetails!J:J)*(1+$AC$5)+IF(C14&gt;0,$AC$6/AD14+$AC$7/60,0)</f>
        <v>0</v>
      </c>
      <c r="J14" s="64">
        <f>I14*(C14+D14)</f>
        <v>0</v>
      </c>
      <c r="K14" s="64">
        <f>SUMIF(PrefetchDBDetails!$A:$A,$A14,PrefetchDBDetails!K:K)</f>
        <v>0</v>
      </c>
      <c r="L14" s="65">
        <f>SUMIF(PrefetchDBDetails!$A:$A,$A14,PrefetchDBDetails!L:L)</f>
        <v>0</v>
      </c>
      <c r="M14" s="64">
        <f>SUMIF(PrefetchDBDetails!$A:$A,$A14,PrefetchDBDetails!M:M)</f>
        <v>0</v>
      </c>
      <c r="N14" s="65">
        <f>SUMIF(PrefetchDBDetails!$A:$A,$A14,PrefetchDBDetails!N:N)</f>
        <v>0</v>
      </c>
      <c r="O14" s="64">
        <f>SUMIF(PrefetchDBDetails!$A:$A,$A14,PrefetchDBDetails!O:O)</f>
        <v>0</v>
      </c>
      <c r="AA14"/>
      <c r="AC14" s="1"/>
      <c r="AD14">
        <v>60</v>
      </c>
      <c r="AE14"/>
    </row>
    <row r="15" spans="1:31" ht="12.75">
      <c r="A15" s="7" t="s">
        <v>970</v>
      </c>
      <c r="B15" s="58" t="s">
        <v>1038</v>
      </c>
      <c r="C15" s="19"/>
      <c r="D15" s="7"/>
      <c r="E15" s="7"/>
      <c r="F15" s="7"/>
      <c r="G15" s="10">
        <f t="shared" si="0"/>
        <v>0</v>
      </c>
      <c r="H15" s="10">
        <f t="shared" si="1"/>
        <v>0</v>
      </c>
      <c r="I15" s="64">
        <f>SUMIF(PrefetchDBDetails!$A:$A,$A15,PrefetchDBDetails!J:J)*(1+$AC$5)+IF(C15&gt;0,$AC$6/AD15+$AC$7/60,0)</f>
        <v>0</v>
      </c>
      <c r="J15" s="64">
        <f aca="true" t="shared" si="2" ref="J15:J23">I15*(C15+D15)</f>
        <v>0</v>
      </c>
      <c r="K15" s="64">
        <f>SUMIF(PrefetchDBDetails!$A:$A,$A15,PrefetchDBDetails!K:K)</f>
        <v>0</v>
      </c>
      <c r="L15" s="65">
        <f>SUMIF(PrefetchDBDetails!$A:$A,$A15,PrefetchDBDetails!L:L)</f>
        <v>0</v>
      </c>
      <c r="M15" s="64">
        <f>SUMIF(PrefetchDBDetails!$A:$A,$A15,PrefetchDBDetails!M:M)</f>
        <v>0</v>
      </c>
      <c r="N15" s="65">
        <f>SUMIF(PrefetchDBDetails!$A:$A,$A15,PrefetchDBDetails!N:N)</f>
        <v>0</v>
      </c>
      <c r="O15" s="64">
        <f>SUMIF(PrefetchDBDetails!$A:$A,$A15,PrefetchDBDetails!O:O)</f>
        <v>0</v>
      </c>
      <c r="AA15"/>
      <c r="AC15" s="1"/>
      <c r="AD15">
        <v>60</v>
      </c>
      <c r="AE15"/>
    </row>
    <row r="16" spans="1:31" ht="12.75">
      <c r="A16" s="7" t="s">
        <v>1177</v>
      </c>
      <c r="B16" s="13" t="s">
        <v>1267</v>
      </c>
      <c r="C16" s="77"/>
      <c r="D16" s="7"/>
      <c r="E16" s="7"/>
      <c r="F16" s="7"/>
      <c r="G16" s="10">
        <f t="shared" si="0"/>
        <v>0</v>
      </c>
      <c r="H16" s="10">
        <f t="shared" si="1"/>
        <v>0</v>
      </c>
      <c r="I16" s="64">
        <f>SUMIF(PrefetchDBDetails!$A:$A,$A16,PrefetchDBDetails!J:J)*(1+$AC$5)+IF(C16&gt;0,$AC$6/AD16+$AC$7/60,0)</f>
        <v>0</v>
      </c>
      <c r="J16" s="64">
        <f t="shared" si="2"/>
        <v>0</v>
      </c>
      <c r="K16" s="64">
        <f>SUMIF(PrefetchDBDetails!$A:$A,$A16,PrefetchDBDetails!K:K)</f>
        <v>0</v>
      </c>
      <c r="L16" s="65">
        <f>SUMIF(PrefetchDBDetails!$A:$A,$A16,PrefetchDBDetails!L:L)</f>
        <v>0</v>
      </c>
      <c r="M16" s="64">
        <f>SUMIF(PrefetchDBDetails!$A:$A,$A16,PrefetchDBDetails!M:M)</f>
        <v>0</v>
      </c>
      <c r="N16" s="65">
        <f>SUMIF(PrefetchDBDetails!$A:$A,$A16,PrefetchDBDetails!N:N)</f>
        <v>0</v>
      </c>
      <c r="O16" s="64">
        <f>SUMIF(PrefetchDBDetails!$A:$A,$A16,PrefetchDBDetails!O:O)</f>
        <v>0</v>
      </c>
      <c r="AA16"/>
      <c r="AC16" s="1"/>
      <c r="AD16">
        <v>60</v>
      </c>
      <c r="AE16"/>
    </row>
    <row r="17" spans="1:31" ht="12" customHeight="1">
      <c r="A17" s="18" t="s">
        <v>428</v>
      </c>
      <c r="B17" s="18" t="s">
        <v>2027</v>
      </c>
      <c r="C17" s="77"/>
      <c r="D17" s="7"/>
      <c r="E17" s="19">
        <v>6000</v>
      </c>
      <c r="F17" s="7" t="s">
        <v>1268</v>
      </c>
      <c r="G17" s="10">
        <f t="shared" si="0"/>
        <v>0</v>
      </c>
      <c r="H17" s="10">
        <f t="shared" si="1"/>
        <v>0</v>
      </c>
      <c r="I17" s="64">
        <f>SUMIF(PrefetchDBDetails!$A:$A,$A17,PrefetchDBDetails!J:J)*(1+$AC$5)+IF(C17&gt;0,$AC$6/AD17+$AC$7/60,0)</f>
        <v>0</v>
      </c>
      <c r="J17" s="64">
        <f t="shared" si="2"/>
        <v>0</v>
      </c>
      <c r="K17" s="64">
        <f>SUMIF(PrefetchDBDetails!$A:$A,$A17,PrefetchDBDetails!K:K)</f>
        <v>0</v>
      </c>
      <c r="L17" s="65">
        <f>SUMIF(PrefetchDBDetails!$A:$A,$A17,PrefetchDBDetails!L:L)</f>
        <v>0</v>
      </c>
      <c r="M17" s="64">
        <f>SUMIF(PrefetchDBDetails!$A:$A,$A17,PrefetchDBDetails!M:M)</f>
        <v>0</v>
      </c>
      <c r="N17" s="65">
        <f>SUMIF(PrefetchDBDetails!$A:$A,$A17,PrefetchDBDetails!N:N)</f>
        <v>0</v>
      </c>
      <c r="O17" s="64">
        <f>SUMIF(PrefetchDBDetails!$A:$A,$A17,PrefetchDBDetails!O:O)</f>
        <v>0</v>
      </c>
      <c r="AA17"/>
      <c r="AC17" s="1"/>
      <c r="AD17">
        <v>60</v>
      </c>
      <c r="AE17"/>
    </row>
    <row r="18" spans="1:31" ht="12" customHeight="1">
      <c r="A18" s="1" t="s">
        <v>566</v>
      </c>
      <c r="B18" s="7" t="s">
        <v>2045</v>
      </c>
      <c r="C18" s="77"/>
      <c r="D18" s="19"/>
      <c r="E18" s="19">
        <v>1000</v>
      </c>
      <c r="F18" s="7" t="s">
        <v>1324</v>
      </c>
      <c r="G18" s="10">
        <f t="shared" si="0"/>
        <v>0</v>
      </c>
      <c r="H18" s="10">
        <f t="shared" si="1"/>
        <v>0</v>
      </c>
      <c r="I18" s="64">
        <f>SUMIF(PrefetchDBDetails!$A:$A,$A18,PrefetchDBDetails!J:J)*(1+$AC$5)+IF(C18&gt;0,$AC$6/AD18+$AC$7/60,0)</f>
        <v>0</v>
      </c>
      <c r="J18" s="64">
        <f t="shared" si="2"/>
        <v>0</v>
      </c>
      <c r="K18" s="64">
        <f>SUMIF(PrefetchDBDetails!$A:$A,$A18,PrefetchDBDetails!K:K)</f>
        <v>0</v>
      </c>
      <c r="L18" s="65">
        <f>SUMIF(PrefetchDBDetails!$A:$A,$A18,PrefetchDBDetails!L:L)</f>
        <v>0</v>
      </c>
      <c r="M18" s="64">
        <f>SUMIF(PrefetchDBDetails!$A:$A,$A18,PrefetchDBDetails!M:M)</f>
        <v>0</v>
      </c>
      <c r="N18" s="65">
        <f>SUMIF(PrefetchDBDetails!$A:$A,$A18,PrefetchDBDetails!N:N)</f>
        <v>0</v>
      </c>
      <c r="O18" s="64">
        <f>SUMIF(PrefetchDBDetails!$A:$A,$A18,PrefetchDBDetails!O:O)</f>
        <v>0</v>
      </c>
      <c r="AA18"/>
      <c r="AC18" s="1"/>
      <c r="AD18">
        <v>60</v>
      </c>
      <c r="AE18"/>
    </row>
    <row r="19" spans="1:31" ht="11.25" customHeight="1">
      <c r="A19" s="7" t="s">
        <v>1046</v>
      </c>
      <c r="B19" s="7" t="s">
        <v>1263</v>
      </c>
      <c r="C19" s="19"/>
      <c r="D19" s="7"/>
      <c r="E19" s="7"/>
      <c r="F19" s="7"/>
      <c r="G19" s="10">
        <f t="shared" si="0"/>
        <v>0</v>
      </c>
      <c r="H19" s="10">
        <f t="shared" si="1"/>
        <v>0</v>
      </c>
      <c r="I19" s="64">
        <f>SUMIF(PrefetchDBDetails!$A:$A,$A19,PrefetchDBDetails!J:J)*(1+$AC$5)+IF(C19&gt;0,$AC$6/AD19+$AC$7/60,0)</f>
        <v>0</v>
      </c>
      <c r="J19" s="64">
        <f t="shared" si="2"/>
        <v>0</v>
      </c>
      <c r="K19" s="64">
        <f>SUMIF(PrefetchDBDetails!$A:$A,$A19,PrefetchDBDetails!K:K)</f>
        <v>0</v>
      </c>
      <c r="L19" s="65">
        <f>SUMIF(PrefetchDBDetails!$A:$A,$A19,PrefetchDBDetails!L:L)</f>
        <v>0</v>
      </c>
      <c r="M19" s="64">
        <f>SUMIF(PrefetchDBDetails!$A:$A,$A19,PrefetchDBDetails!M:M)</f>
        <v>0</v>
      </c>
      <c r="N19" s="65">
        <f>SUMIF(PrefetchDBDetails!$A:$A,$A19,PrefetchDBDetails!N:N)</f>
        <v>0</v>
      </c>
      <c r="O19" s="64">
        <f>SUMIF(PrefetchDBDetails!$A:$A,$A19,PrefetchDBDetails!O:O)</f>
        <v>0</v>
      </c>
      <c r="AA19"/>
      <c r="AC19" s="1"/>
      <c r="AD19">
        <v>60</v>
      </c>
      <c r="AE19"/>
    </row>
    <row r="20" spans="1:31" ht="11.25" customHeight="1">
      <c r="A20" s="18" t="s">
        <v>671</v>
      </c>
      <c r="B20" s="7" t="s">
        <v>684</v>
      </c>
      <c r="C20" s="77"/>
      <c r="D20" s="7"/>
      <c r="E20" s="19">
        <v>50</v>
      </c>
      <c r="F20" s="7" t="s">
        <v>1274</v>
      </c>
      <c r="G20" s="10">
        <f t="shared" si="0"/>
        <v>0</v>
      </c>
      <c r="H20" s="10">
        <f t="shared" si="1"/>
        <v>0</v>
      </c>
      <c r="I20" s="64">
        <f>SUMIF(PrefetchDBDetails!$A:$A,$A20,PrefetchDBDetails!J:J)*(1+$AC$5)+IF(C20&gt;0,$AC$6/AD20+$AC$7/60,0)</f>
        <v>0</v>
      </c>
      <c r="J20" s="64">
        <f t="shared" si="2"/>
        <v>0</v>
      </c>
      <c r="K20" s="64">
        <f>SUMIF(PrefetchDBDetails!$A:$A,$A20,PrefetchDBDetails!K:K)</f>
        <v>0</v>
      </c>
      <c r="L20" s="65">
        <f>SUMIF(PrefetchDBDetails!$A:$A,$A20,PrefetchDBDetails!L:L)</f>
        <v>0</v>
      </c>
      <c r="M20" s="64">
        <f>SUMIF(PrefetchDBDetails!$A:$A,$A20,PrefetchDBDetails!M:M)</f>
        <v>0</v>
      </c>
      <c r="N20" s="65">
        <f>SUMIF(PrefetchDBDetails!$A:$A,$A20,PrefetchDBDetails!N:N)</f>
        <v>0</v>
      </c>
      <c r="O20" s="64">
        <f>SUMIF(PrefetchDBDetails!$A:$A,$A20,PrefetchDBDetails!O:O)</f>
        <v>0</v>
      </c>
      <c r="AA20"/>
      <c r="AC20" s="1"/>
      <c r="AD20">
        <v>60</v>
      </c>
      <c r="AE20"/>
    </row>
    <row r="21" spans="1:31" ht="12" customHeight="1">
      <c r="A21" s="18" t="s">
        <v>424</v>
      </c>
      <c r="B21" s="18" t="s">
        <v>425</v>
      </c>
      <c r="C21" s="77"/>
      <c r="D21" s="7"/>
      <c r="E21" s="7"/>
      <c r="F21" s="7"/>
      <c r="G21" s="10">
        <f t="shared" si="0"/>
        <v>0</v>
      </c>
      <c r="H21" s="10">
        <f t="shared" si="1"/>
        <v>0</v>
      </c>
      <c r="I21" s="64">
        <f>SUMIF(PrefetchDBDetails!$A:$A,$A21,PrefetchDBDetails!J:J)*(1+$AC$5)+IF(C21&gt;0,$AC$6/AD21+$AC$7/60,0)</f>
        <v>0</v>
      </c>
      <c r="J21" s="64">
        <f t="shared" si="2"/>
        <v>0</v>
      </c>
      <c r="K21" s="64">
        <f>SUMIF(PrefetchDBDetails!$A:$A,$A21,PrefetchDBDetails!K:K)</f>
        <v>0</v>
      </c>
      <c r="L21" s="65">
        <f>SUMIF(PrefetchDBDetails!$A:$A,$A21,PrefetchDBDetails!L:L)</f>
        <v>0</v>
      </c>
      <c r="M21" s="64">
        <f>SUMIF(PrefetchDBDetails!$A:$A,$A21,PrefetchDBDetails!M:M)</f>
        <v>0</v>
      </c>
      <c r="N21" s="65">
        <f>SUMIF(PrefetchDBDetails!$A:$A,$A21,PrefetchDBDetails!N:N)</f>
        <v>0</v>
      </c>
      <c r="O21" s="64">
        <f>SUMIF(PrefetchDBDetails!$A:$A,$A21,PrefetchDBDetails!O:O)</f>
        <v>0</v>
      </c>
      <c r="AA21"/>
      <c r="AC21" s="1"/>
      <c r="AD21">
        <v>60</v>
      </c>
      <c r="AE21"/>
    </row>
    <row r="22" spans="1:31" ht="12.75">
      <c r="A22" s="7" t="s">
        <v>1771</v>
      </c>
      <c r="B22" s="13" t="s">
        <v>2042</v>
      </c>
      <c r="C22" s="7"/>
      <c r="D22" s="76"/>
      <c r="E22" s="7"/>
      <c r="F22" s="7"/>
      <c r="G22" s="63">
        <f t="shared" si="0"/>
        <v>0</v>
      </c>
      <c r="H22" s="63">
        <f t="shared" si="1"/>
        <v>0</v>
      </c>
      <c r="I22" s="64">
        <f>SUMIF(PrefetchDBDetails!$A:$A,$A22,PrefetchDBDetails!J:J)*(1+$AC$5)+IF(C22&gt;0,$AC$6/AD22+$AC$7/60,0)</f>
        <v>0</v>
      </c>
      <c r="J22" s="64">
        <f>I22*(C22+D22)</f>
        <v>0</v>
      </c>
      <c r="K22" s="64">
        <f>SUMIF(PrefetchDBDetails!$A:$A,$A22,PrefetchDBDetails!K:K)</f>
        <v>100</v>
      </c>
      <c r="L22" s="65">
        <f>SUMIF(PrefetchDBDetails!$A:$A,$A22,PrefetchDBDetails!L:L)</f>
        <v>0</v>
      </c>
      <c r="M22" s="64">
        <f>SUMIF(PrefetchDBDetails!$A:$A,$A22,PrefetchDBDetails!M:M)</f>
        <v>0</v>
      </c>
      <c r="N22" s="65">
        <f>SUMIF(PrefetchDBDetails!$A:$A,$A22,PrefetchDBDetails!N:N)</f>
        <v>0</v>
      </c>
      <c r="O22" s="64">
        <f>SUMIF(PrefetchDBDetails!$A:$A,$A22,PrefetchDBDetails!O:O)</f>
        <v>0</v>
      </c>
      <c r="AA22"/>
      <c r="AC22" s="1"/>
      <c r="AD22">
        <v>60</v>
      </c>
      <c r="AE22"/>
    </row>
    <row r="23" spans="1:31" ht="25.5">
      <c r="A23" s="1" t="s">
        <v>561</v>
      </c>
      <c r="B23" s="7" t="s">
        <v>2035</v>
      </c>
      <c r="C23" s="76"/>
      <c r="D23" s="19"/>
      <c r="E23" s="19">
        <v>600</v>
      </c>
      <c r="F23" s="12" t="s">
        <v>1318</v>
      </c>
      <c r="G23" s="10">
        <f t="shared" si="0"/>
        <v>0</v>
      </c>
      <c r="H23" s="10">
        <f t="shared" si="1"/>
        <v>0</v>
      </c>
      <c r="I23" s="64">
        <f>SUMIF(PrefetchDBDetails!$A:$A,$A23,PrefetchDBDetails!J:J)*(1+$AC$5)+IF(C23&gt;0,$AC$6/AD23+$AC$7/60,0)</f>
        <v>0</v>
      </c>
      <c r="J23" s="64">
        <f t="shared" si="2"/>
        <v>0</v>
      </c>
      <c r="K23" s="64">
        <f>SUMIF(PrefetchDBDetails!$A:$A,$A23,PrefetchDBDetails!K:K)</f>
        <v>0</v>
      </c>
      <c r="L23" s="65">
        <f>SUMIF(PrefetchDBDetails!$A:$A,$A23,PrefetchDBDetails!L:L)</f>
        <v>0</v>
      </c>
      <c r="M23" s="64">
        <f>SUMIF(PrefetchDBDetails!$A:$A,$A23,PrefetchDBDetails!M:M)</f>
        <v>0</v>
      </c>
      <c r="N23" s="65">
        <f>SUMIF(PrefetchDBDetails!$A:$A,$A23,PrefetchDBDetails!N:N)</f>
        <v>0</v>
      </c>
      <c r="O23" s="64">
        <f>SUMIF(PrefetchDBDetails!$A:$A,$A23,PrefetchDBDetails!O:O)</f>
        <v>0</v>
      </c>
      <c r="Y23" s="29"/>
      <c r="AC23" s="1"/>
      <c r="AD23">
        <v>60</v>
      </c>
      <c r="AE23"/>
    </row>
    <row r="24" spans="2:31" ht="25.5">
      <c r="B24" s="7"/>
      <c r="C24" s="75"/>
      <c r="D24" s="7"/>
      <c r="E24" s="19">
        <v>18000</v>
      </c>
      <c r="F24" s="12" t="s">
        <v>1325</v>
      </c>
      <c r="G24" s="7"/>
      <c r="H24" s="7"/>
      <c r="I24" s="7"/>
      <c r="J24" s="7"/>
      <c r="K24" s="7"/>
      <c r="L24" s="7"/>
      <c r="M24" s="7"/>
      <c r="N24" s="7"/>
      <c r="O24" s="7"/>
      <c r="Y24" s="29"/>
      <c r="AC24" s="1"/>
      <c r="AE24"/>
    </row>
    <row r="25" spans="2:31" ht="12.75">
      <c r="B25" s="7"/>
      <c r="C25" s="75"/>
      <c r="D25" s="7"/>
      <c r="E25" s="19">
        <v>0</v>
      </c>
      <c r="F25" s="12" t="s">
        <v>1326</v>
      </c>
      <c r="G25" s="7"/>
      <c r="H25" s="7"/>
      <c r="I25" s="7"/>
      <c r="J25" s="7"/>
      <c r="K25" s="7"/>
      <c r="L25" s="7"/>
      <c r="M25" s="7"/>
      <c r="N25" s="7"/>
      <c r="O25" s="7"/>
      <c r="Y25" s="29"/>
      <c r="AC25" s="1"/>
      <c r="AE25"/>
    </row>
    <row r="26" spans="1:31" ht="12.75">
      <c r="A26" s="18" t="s">
        <v>423</v>
      </c>
      <c r="B26" s="18" t="s">
        <v>580</v>
      </c>
      <c r="C26" s="76"/>
      <c r="D26" s="7"/>
      <c r="E26" s="19">
        <v>50</v>
      </c>
      <c r="F26" s="7" t="s">
        <v>701</v>
      </c>
      <c r="G26" s="10">
        <f aca="true" t="shared" si="3" ref="G26:G67">IF($C$75&gt;0,L26/SUM(L$1:L$65536),0)</f>
        <v>0</v>
      </c>
      <c r="H26" s="10">
        <f aca="true" t="shared" si="4" ref="H26:H67">IF($C$75&gt;0,O26/SUM(O$1:O$65536),0)</f>
        <v>0</v>
      </c>
      <c r="I26" s="5">
        <f>SUMIF(PrefetchDBDetails!$A:$A,$A26,PrefetchDBDetails!J:J)*(1+$AC$5)+IF(C26&gt;0,$AC$6/AD26+$AC$7/60,0)</f>
        <v>0</v>
      </c>
      <c r="J26" s="5">
        <f aca="true" t="shared" si="5" ref="J26:J67">I26*(C26+D26)</f>
        <v>0</v>
      </c>
      <c r="K26" s="5">
        <f>SUMIF(PrefetchDBDetails!$A:$A,$A26,PrefetchDBDetails!K:K)</f>
        <v>0</v>
      </c>
      <c r="L26" s="25">
        <f>SUMIF(PrefetchDBDetails!$A:$A,$A26,PrefetchDBDetails!L:L)</f>
        <v>0</v>
      </c>
      <c r="M26" s="41">
        <f>SUMIF(PrefetchDBDetails!$A:$A,$A26,PrefetchDBDetails!M:M)</f>
        <v>0</v>
      </c>
      <c r="N26" s="25">
        <v>0</v>
      </c>
      <c r="O26" s="41">
        <f>SUMIF(PrefetchDBDetails!$A:$A,$A26,PrefetchDBDetails!O:O)</f>
        <v>0</v>
      </c>
      <c r="AA26"/>
      <c r="AC26" s="1"/>
      <c r="AD26">
        <v>60</v>
      </c>
      <c r="AE26"/>
    </row>
    <row r="27" spans="1:31" ht="12.75">
      <c r="A27" s="1" t="s">
        <v>568</v>
      </c>
      <c r="B27" s="7" t="s">
        <v>2037</v>
      </c>
      <c r="C27" s="76"/>
      <c r="D27" s="7"/>
      <c r="E27" s="19">
        <v>100</v>
      </c>
      <c r="F27" s="7" t="s">
        <v>588</v>
      </c>
      <c r="G27" s="10">
        <f t="shared" si="3"/>
        <v>0</v>
      </c>
      <c r="H27" s="10">
        <f t="shared" si="4"/>
        <v>0</v>
      </c>
      <c r="I27" s="64">
        <f>SUMIF(PrefetchDBDetails!$A:$A,$A27,PrefetchDBDetails!J:J)*(1+$AC$5)+IF(C27&gt;0,$AC$6/AD27+$AC$7/60,0)</f>
        <v>0</v>
      </c>
      <c r="J27" s="64">
        <f t="shared" si="5"/>
        <v>0</v>
      </c>
      <c r="K27" s="64">
        <f>SUMIF(PrefetchDBDetails!$A:$A,$A27,PrefetchDBDetails!K:K)</f>
        <v>0</v>
      </c>
      <c r="L27" s="65">
        <f>SUMIF(PrefetchDBDetails!$A:$A,$A27,PrefetchDBDetails!L:L)</f>
        <v>0</v>
      </c>
      <c r="M27" s="64">
        <f>SUMIF(PrefetchDBDetails!$A:$A,$A27,PrefetchDBDetails!M:M)</f>
        <v>0</v>
      </c>
      <c r="N27" s="65">
        <f>SUMIF(PrefetchDBDetails!$A:$A,$A27,PrefetchDBDetails!N:N)</f>
        <v>0</v>
      </c>
      <c r="O27" s="64">
        <f>SUMIF(PrefetchDBDetails!$A:$A,$A27,PrefetchDBDetails!O:O)</f>
        <v>0</v>
      </c>
      <c r="Y27" s="29"/>
      <c r="AC27" s="1"/>
      <c r="AD27">
        <v>60</v>
      </c>
      <c r="AE27"/>
    </row>
    <row r="28" spans="1:31" ht="12" customHeight="1">
      <c r="A28" s="18" t="s">
        <v>433</v>
      </c>
      <c r="B28" s="18" t="s">
        <v>2036</v>
      </c>
      <c r="C28" s="76">
        <v>10</v>
      </c>
      <c r="D28" s="19"/>
      <c r="E28" s="19">
        <v>8</v>
      </c>
      <c r="F28" s="7" t="s">
        <v>1656</v>
      </c>
      <c r="G28" s="10">
        <f t="shared" si="3"/>
        <v>0.04556915480380312</v>
      </c>
      <c r="H28" s="10">
        <f t="shared" si="4"/>
        <v>0.030222969903454657</v>
      </c>
      <c r="I28" s="64">
        <f>SUMIF(PrefetchDBDetails!$A:$A,$A28,PrefetchDBDetails!J:J)*(1+$AC$5)+IF(C28&gt;0,$AC$6/AD28+$AC$7/60,0)</f>
        <v>474.7076177083333</v>
      </c>
      <c r="J28" s="64">
        <f t="shared" si="5"/>
        <v>4747.076177083333</v>
      </c>
      <c r="K28" s="64">
        <f>SUMIF(PrefetchDBDetails!$A:$A,$A28,PrefetchDBDetails!K:K)</f>
        <v>43.375</v>
      </c>
      <c r="L28" s="65">
        <f>SUMIF(PrefetchDBDetails!$A:$A,$A28,PrefetchDBDetails!L:L)</f>
        <v>433.75</v>
      </c>
      <c r="M28" s="64">
        <f>SUMIF(PrefetchDBDetails!$A:$A,$A28,PrefetchDBDetails!M:M)</f>
        <v>70.44328106750947</v>
      </c>
      <c r="N28" s="65">
        <f>SUMIF(PrefetchDBDetails!$A:$A,$A28,PrefetchDBDetails!N:N)</f>
        <v>4996800</v>
      </c>
      <c r="O28" s="64">
        <f>SUMIF(PrefetchDBDetails!$A:$A,$A28,PrefetchDBDetails!O:O)</f>
        <v>417.8580963134765</v>
      </c>
      <c r="Y28" s="29"/>
      <c r="AC28" s="1"/>
      <c r="AD28">
        <v>60</v>
      </c>
      <c r="AE28"/>
    </row>
    <row r="29" spans="1:31" ht="12.75">
      <c r="A29" s="18" t="s">
        <v>429</v>
      </c>
      <c r="B29" s="18" t="s">
        <v>2025</v>
      </c>
      <c r="C29" s="77"/>
      <c r="D29" s="7"/>
      <c r="E29" s="7"/>
      <c r="F29" s="7"/>
      <c r="G29" s="63">
        <f t="shared" si="3"/>
        <v>0</v>
      </c>
      <c r="H29" s="63">
        <f t="shared" si="4"/>
        <v>0</v>
      </c>
      <c r="I29" s="64">
        <f>SUMIF(PrefetchDBDetails!$A:$A,$A29,PrefetchDBDetails!J:J)*(1+$AC$5)+IF(C29&gt;0,$AC$6/AD29+$AC$7/60,0)</f>
        <v>0</v>
      </c>
      <c r="J29" s="64">
        <f t="shared" si="5"/>
        <v>0</v>
      </c>
      <c r="K29" s="64">
        <f>SUMIF(PrefetchDBDetails!$A:$A,$A29,PrefetchDBDetails!K:K)</f>
        <v>0</v>
      </c>
      <c r="L29" s="65">
        <f>SUMIF(PrefetchDBDetails!$A:$A,$A29,PrefetchDBDetails!L:L)</f>
        <v>0</v>
      </c>
      <c r="M29" s="64">
        <f>SUMIF(PrefetchDBDetails!$A:$A,$A29,PrefetchDBDetails!M:M)</f>
        <v>0</v>
      </c>
      <c r="N29" s="65">
        <f>SUMIF(PrefetchDBDetails!$A:$A,$A29,PrefetchDBDetails!N:N)</f>
        <v>0</v>
      </c>
      <c r="O29" s="64">
        <f>SUMIF(PrefetchDBDetails!$A:$A,$A29,PrefetchDBDetails!O:O)</f>
        <v>0</v>
      </c>
      <c r="AA29"/>
      <c r="AC29" s="1"/>
      <c r="AD29">
        <v>60</v>
      </c>
      <c r="AE29"/>
    </row>
    <row r="30" spans="1:31" ht="12" customHeight="1">
      <c r="A30" s="7" t="s">
        <v>895</v>
      </c>
      <c r="B30" s="7" t="s">
        <v>926</v>
      </c>
      <c r="C30" s="77"/>
      <c r="D30" s="7"/>
      <c r="E30" s="7"/>
      <c r="F30" s="7"/>
      <c r="G30" s="10">
        <f t="shared" si="3"/>
        <v>0</v>
      </c>
      <c r="H30" s="10">
        <f t="shared" si="4"/>
        <v>0</v>
      </c>
      <c r="I30" s="64">
        <f>SUMIF(PrefetchDBDetails!$A:$A,$A30,PrefetchDBDetails!J:J)*(1+$AC$5)+IF(C30&gt;0,$AC$6/AD30+$AC$7/60,0)</f>
        <v>0</v>
      </c>
      <c r="J30" s="64">
        <f t="shared" si="5"/>
        <v>0</v>
      </c>
      <c r="K30" s="64">
        <f>SUMIF(PrefetchDBDetails!$A:$A,$A30,PrefetchDBDetails!K:K)</f>
        <v>0</v>
      </c>
      <c r="L30" s="65">
        <f>SUMIF(PrefetchDBDetails!$A:$A,$A30,PrefetchDBDetails!L:L)</f>
        <v>0</v>
      </c>
      <c r="M30" s="64">
        <f>SUMIF(PrefetchDBDetails!$A:$A,$A30,PrefetchDBDetails!M:M)</f>
        <v>0</v>
      </c>
      <c r="N30" s="65">
        <f>SUMIF(PrefetchDBDetails!$A:$A,$A30,PrefetchDBDetails!N:N)</f>
        <v>0</v>
      </c>
      <c r="O30" s="64">
        <f>SUMIF(PrefetchDBDetails!$A:$A,$A30,PrefetchDBDetails!O:O)</f>
        <v>0</v>
      </c>
      <c r="Y30" s="29"/>
      <c r="AC30" s="1"/>
      <c r="AD30">
        <v>5</v>
      </c>
      <c r="AE30"/>
    </row>
    <row r="31" spans="1:31" ht="12" customHeight="1">
      <c r="A31" s="18" t="s">
        <v>426</v>
      </c>
      <c r="B31" s="18" t="s">
        <v>2028</v>
      </c>
      <c r="C31" s="77"/>
      <c r="D31" s="7"/>
      <c r="E31" s="7"/>
      <c r="F31" s="7"/>
      <c r="G31" s="10">
        <f t="shared" si="3"/>
        <v>0</v>
      </c>
      <c r="H31" s="10">
        <f t="shared" si="4"/>
        <v>0</v>
      </c>
      <c r="I31" s="64">
        <f>SUMIF(PrefetchDBDetails!$A:$A,$A31,PrefetchDBDetails!J:J)*(1+$AC$5)+IF(C31&gt;0,$AC$6/AD31+$AC$7/60,0)</f>
        <v>0</v>
      </c>
      <c r="J31" s="64">
        <f t="shared" si="5"/>
        <v>0</v>
      </c>
      <c r="K31" s="64">
        <f>SUMIF(PrefetchDBDetails!$A:$A,$A31,PrefetchDBDetails!K:K)</f>
        <v>0</v>
      </c>
      <c r="L31" s="65">
        <f>SUMIF(PrefetchDBDetails!$A:$A,$A31,PrefetchDBDetails!L:L)</f>
        <v>0</v>
      </c>
      <c r="M31" s="64">
        <f>SUMIF(PrefetchDBDetails!$A:$A,$A31,PrefetchDBDetails!M:M)</f>
        <v>0</v>
      </c>
      <c r="N31" s="65">
        <f>SUMIF(PrefetchDBDetails!$A:$A,$A31,PrefetchDBDetails!N:N)</f>
        <v>0</v>
      </c>
      <c r="O31" s="64">
        <f>SUMIF(PrefetchDBDetails!$A:$A,$A31,PrefetchDBDetails!O:O)</f>
        <v>0</v>
      </c>
      <c r="AA31"/>
      <c r="AC31" s="1"/>
      <c r="AD31">
        <v>60</v>
      </c>
      <c r="AE31"/>
    </row>
    <row r="32" spans="1:31" ht="12" customHeight="1">
      <c r="A32" s="18" t="s">
        <v>645</v>
      </c>
      <c r="B32" s="18" t="s">
        <v>660</v>
      </c>
      <c r="C32" s="77"/>
      <c r="D32" s="7"/>
      <c r="E32" s="19">
        <v>200</v>
      </c>
      <c r="F32" s="7" t="s">
        <v>588</v>
      </c>
      <c r="G32" s="10">
        <f t="shared" si="3"/>
        <v>0</v>
      </c>
      <c r="H32" s="10">
        <f t="shared" si="4"/>
        <v>0</v>
      </c>
      <c r="I32" s="64">
        <f>SUMIF(PrefetchDBDetails!$A:$A,$A32,PrefetchDBDetails!J:J)*(1+$AC$5)+IF(C32&gt;0,$AC$6/AD32+$AC$7/60,0)</f>
        <v>0</v>
      </c>
      <c r="J32" s="64">
        <f t="shared" si="5"/>
        <v>0</v>
      </c>
      <c r="K32" s="64">
        <f>SUMIF(PrefetchDBDetails!$A:$A,$A32,PrefetchDBDetails!K:K)</f>
        <v>0</v>
      </c>
      <c r="L32" s="65">
        <f>SUMIF(PrefetchDBDetails!$A:$A,$A32,PrefetchDBDetails!L:L)</f>
        <v>0</v>
      </c>
      <c r="M32" s="64">
        <f>SUMIF(PrefetchDBDetails!$A:$A,$A32,PrefetchDBDetails!M:M)</f>
        <v>0</v>
      </c>
      <c r="N32" s="65">
        <f>SUMIF(PrefetchDBDetails!$A:$A,$A32,PrefetchDBDetails!N:N)</f>
        <v>0</v>
      </c>
      <c r="O32" s="64">
        <f>SUMIF(PrefetchDBDetails!$A:$A,$A32,PrefetchDBDetails!O:O)</f>
        <v>0</v>
      </c>
      <c r="Y32" s="29"/>
      <c r="AC32" s="1"/>
      <c r="AD32">
        <v>60</v>
      </c>
      <c r="AE32"/>
    </row>
    <row r="33" spans="1:31" ht="12" customHeight="1">
      <c r="A33" s="1" t="s">
        <v>559</v>
      </c>
      <c r="B33" s="18" t="s">
        <v>2029</v>
      </c>
      <c r="C33" s="77"/>
      <c r="D33" s="7"/>
      <c r="E33" s="7"/>
      <c r="F33" s="7"/>
      <c r="G33" s="10">
        <f t="shared" si="3"/>
        <v>0</v>
      </c>
      <c r="H33" s="10">
        <f t="shared" si="4"/>
        <v>0</v>
      </c>
      <c r="I33" s="64">
        <f>SUMIF(PrefetchDBDetails!$A:$A,$A33,PrefetchDBDetails!J:J)*(1+$AC$5)+IF(C33&gt;0,$AC$6/AD33+$AC$7/60,0)</f>
        <v>0</v>
      </c>
      <c r="J33" s="64">
        <f t="shared" si="5"/>
        <v>0</v>
      </c>
      <c r="K33" s="64">
        <f>SUMIF(PrefetchDBDetails!$A:$A,$A33,PrefetchDBDetails!K:K)</f>
        <v>0</v>
      </c>
      <c r="L33" s="65">
        <f>SUMIF(PrefetchDBDetails!$A:$A,$A33,PrefetchDBDetails!L:L)</f>
        <v>0</v>
      </c>
      <c r="M33" s="64">
        <f>SUMIF(PrefetchDBDetails!$A:$A,$A33,PrefetchDBDetails!M:M)</f>
        <v>0</v>
      </c>
      <c r="N33" s="65">
        <f>SUMIF(PrefetchDBDetails!$A:$A,$A33,PrefetchDBDetails!N:N)</f>
        <v>0</v>
      </c>
      <c r="O33" s="64">
        <f>SUMIF(PrefetchDBDetails!$A:$A,$A33,PrefetchDBDetails!O:O)</f>
        <v>0</v>
      </c>
      <c r="Y33" s="29"/>
      <c r="AC33" s="1"/>
      <c r="AD33">
        <v>60</v>
      </c>
      <c r="AE33"/>
    </row>
    <row r="34" spans="1:31" ht="12" customHeight="1">
      <c r="A34" s="7" t="s">
        <v>1089</v>
      </c>
      <c r="B34" s="18" t="s">
        <v>1264</v>
      </c>
      <c r="C34" s="77"/>
      <c r="D34" s="7"/>
      <c r="E34" s="7"/>
      <c r="F34" s="7"/>
      <c r="G34" s="10">
        <f t="shared" si="3"/>
        <v>0</v>
      </c>
      <c r="H34" s="10">
        <f t="shared" si="4"/>
        <v>0</v>
      </c>
      <c r="I34" s="64">
        <f>SUMIF(PrefetchDBDetails!$A:$A,$A34,PrefetchDBDetails!J:J)*(1+$AC$5)+IF(C34&gt;0,$AC$6/AD34+$AC$7/60,0)</f>
        <v>0</v>
      </c>
      <c r="J34" s="64">
        <f t="shared" si="5"/>
        <v>0</v>
      </c>
      <c r="K34" s="64">
        <f>SUMIF(PrefetchDBDetails!$A:$A,$A34,PrefetchDBDetails!K:K)</f>
        <v>0</v>
      </c>
      <c r="L34" s="65">
        <f>SUMIF(PrefetchDBDetails!$A:$A,$A34,PrefetchDBDetails!L:L)</f>
        <v>0</v>
      </c>
      <c r="M34" s="64">
        <f>SUMIF(PrefetchDBDetails!$A:$A,$A34,PrefetchDBDetails!M:M)</f>
        <v>0</v>
      </c>
      <c r="N34" s="65">
        <f>SUMIF(PrefetchDBDetails!$A:$A,$A34,PrefetchDBDetails!N:N)</f>
        <v>0</v>
      </c>
      <c r="O34" s="64">
        <f>SUMIF(PrefetchDBDetails!$A:$A,$A34,PrefetchDBDetails!O:O)</f>
        <v>0</v>
      </c>
      <c r="Y34" s="29"/>
      <c r="AC34" s="1"/>
      <c r="AD34">
        <v>60</v>
      </c>
      <c r="AE34"/>
    </row>
    <row r="35" spans="1:31" ht="12" customHeight="1">
      <c r="A35" s="1" t="s">
        <v>560</v>
      </c>
      <c r="B35" s="18" t="s">
        <v>572</v>
      </c>
      <c r="C35" s="77"/>
      <c r="D35" s="7"/>
      <c r="E35" s="7"/>
      <c r="F35" s="7"/>
      <c r="G35" s="10">
        <f t="shared" si="3"/>
        <v>0</v>
      </c>
      <c r="H35" s="10">
        <f t="shared" si="4"/>
        <v>0</v>
      </c>
      <c r="I35" s="64">
        <f>SUMIF(PrefetchDBDetails!$A:$A,$A35,PrefetchDBDetails!J:J)*(1+$AC$5)+IF(C35&gt;0,$AC$6/AD35+$AC$7/60,0)</f>
        <v>0</v>
      </c>
      <c r="J35" s="64">
        <f t="shared" si="5"/>
        <v>0</v>
      </c>
      <c r="K35" s="64">
        <f>SUMIF(PrefetchDBDetails!$A:$A,$A35,PrefetchDBDetails!K:K)</f>
        <v>0</v>
      </c>
      <c r="L35" s="65">
        <f>SUMIF(PrefetchDBDetails!$A:$A,$A35,PrefetchDBDetails!L:L)</f>
        <v>0</v>
      </c>
      <c r="M35" s="64">
        <f>SUMIF(PrefetchDBDetails!$A:$A,$A35,PrefetchDBDetails!M:M)</f>
        <v>0</v>
      </c>
      <c r="N35" s="65">
        <f>SUMIF(PrefetchDBDetails!$A:$A,$A35,PrefetchDBDetails!N:N)</f>
        <v>0</v>
      </c>
      <c r="O35" s="64">
        <f>SUMIF(PrefetchDBDetails!$A:$A,$A35,PrefetchDBDetails!O:O)</f>
        <v>0</v>
      </c>
      <c r="Y35" s="29"/>
      <c r="AC35" s="1"/>
      <c r="AD35">
        <v>5</v>
      </c>
      <c r="AE35"/>
    </row>
    <row r="36" spans="1:31" ht="12" customHeight="1">
      <c r="A36" s="7" t="s">
        <v>1523</v>
      </c>
      <c r="B36" s="7" t="s">
        <v>1578</v>
      </c>
      <c r="C36" s="77"/>
      <c r="D36" s="7"/>
      <c r="E36" s="7"/>
      <c r="F36" s="7"/>
      <c r="G36" s="10">
        <f t="shared" si="3"/>
        <v>0</v>
      </c>
      <c r="H36" s="10">
        <f t="shared" si="4"/>
        <v>0</v>
      </c>
      <c r="I36" s="64">
        <f>SUMIF(PrefetchDBDetails!$A:$A,$A36,PrefetchDBDetails!J:J)*(1+$AC$5)+IF(C36&gt;0,$AC$6/AD36+$AC$7/60,0)</f>
        <v>0</v>
      </c>
      <c r="J36" s="64">
        <f t="shared" si="5"/>
        <v>0</v>
      </c>
      <c r="K36" s="64">
        <f>SUMIF(PrefetchDBDetails!$A:$A,$A36,PrefetchDBDetails!K:K)</f>
        <v>0</v>
      </c>
      <c r="L36" s="65">
        <f>SUMIF(PrefetchDBDetails!$A:$A,$A36,PrefetchDBDetails!L:L)</f>
        <v>0</v>
      </c>
      <c r="M36" s="64">
        <f>SUMIF(PrefetchDBDetails!$A:$A,$A36,PrefetchDBDetails!M:M)</f>
        <v>0</v>
      </c>
      <c r="N36" s="65">
        <f>SUMIF(PrefetchDBDetails!$A:$A,$A36,PrefetchDBDetails!N:N)</f>
        <v>0</v>
      </c>
      <c r="O36" s="64">
        <f>SUMIF(PrefetchDBDetails!$A:$A,$A36,PrefetchDBDetails!O:O)</f>
        <v>0</v>
      </c>
      <c r="Y36" s="29"/>
      <c r="AC36" s="1"/>
      <c r="AD36">
        <v>60</v>
      </c>
      <c r="AE36"/>
    </row>
    <row r="37" spans="1:31" ht="12" customHeight="1">
      <c r="A37" s="7" t="s">
        <v>933</v>
      </c>
      <c r="B37" s="7" t="s">
        <v>1037</v>
      </c>
      <c r="C37" s="77"/>
      <c r="D37" s="7"/>
      <c r="E37" s="7"/>
      <c r="F37" s="7"/>
      <c r="G37" s="10">
        <f t="shared" si="3"/>
        <v>0</v>
      </c>
      <c r="H37" s="10">
        <f t="shared" si="4"/>
        <v>0</v>
      </c>
      <c r="I37" s="64">
        <f>SUMIF(PrefetchDBDetails!$A:$A,$A37,PrefetchDBDetails!J:J)*(1+$AC$5)+IF(C37&gt;0,$AC$6/AD37+$AC$7/60,0)</f>
        <v>0</v>
      </c>
      <c r="J37" s="64">
        <f t="shared" si="5"/>
        <v>0</v>
      </c>
      <c r="K37" s="64">
        <f>SUMIF(PrefetchDBDetails!$A:$A,$A37,PrefetchDBDetails!K:K)</f>
        <v>0</v>
      </c>
      <c r="L37" s="65">
        <f>SUMIF(PrefetchDBDetails!$A:$A,$A37,PrefetchDBDetails!L:L)</f>
        <v>0</v>
      </c>
      <c r="M37" s="64">
        <f>SUMIF(PrefetchDBDetails!$A:$A,$A37,PrefetchDBDetails!M:M)</f>
        <v>0</v>
      </c>
      <c r="N37" s="65">
        <f>SUMIF(PrefetchDBDetails!$A:$A,$A37,PrefetchDBDetails!N:N)</f>
        <v>0</v>
      </c>
      <c r="O37" s="64">
        <f>SUMIF(PrefetchDBDetails!$A:$A,$A37,PrefetchDBDetails!O:O)</f>
        <v>0</v>
      </c>
      <c r="Y37" s="29"/>
      <c r="AC37" s="1"/>
      <c r="AD37">
        <v>5</v>
      </c>
      <c r="AE37"/>
    </row>
    <row r="38" spans="1:31" ht="12" customHeight="1">
      <c r="A38" s="18" t="s">
        <v>555</v>
      </c>
      <c r="B38" s="18" t="s">
        <v>2026</v>
      </c>
      <c r="C38" s="77"/>
      <c r="D38" s="19"/>
      <c r="E38" s="19">
        <v>1000</v>
      </c>
      <c r="F38" s="7" t="s">
        <v>608</v>
      </c>
      <c r="G38" s="10">
        <f t="shared" si="3"/>
        <v>0</v>
      </c>
      <c r="H38" s="10">
        <f t="shared" si="4"/>
        <v>0</v>
      </c>
      <c r="I38" s="64">
        <f>SUMIF(PrefetchDBDetails!$A:$A,$A38,PrefetchDBDetails!J:J)*(1+$AC$5)+IF(C38&gt;0,$AC$6/AD38+$AC$7/60,0)</f>
        <v>0</v>
      </c>
      <c r="J38" s="64">
        <f t="shared" si="5"/>
        <v>0</v>
      </c>
      <c r="K38" s="64">
        <f>SUMIF(PrefetchDBDetails!$A:$A,$A38,PrefetchDBDetails!K:K)</f>
        <v>0</v>
      </c>
      <c r="L38" s="65">
        <f>SUMIF(PrefetchDBDetails!$A:$A,$A38,PrefetchDBDetails!L:L)</f>
        <v>0</v>
      </c>
      <c r="M38" s="64">
        <f>SUMIF(PrefetchDBDetails!$A:$A,$A38,PrefetchDBDetails!M:M)</f>
        <v>0</v>
      </c>
      <c r="N38" s="65">
        <f>SUMIF(PrefetchDBDetails!$A:$A,$A38,PrefetchDBDetails!N:N)</f>
        <v>0</v>
      </c>
      <c r="O38" s="64">
        <f>SUMIF(PrefetchDBDetails!$A:$A,$A38,PrefetchDBDetails!O:O)</f>
        <v>0</v>
      </c>
      <c r="Y38" s="29"/>
      <c r="AC38" s="1"/>
      <c r="AD38">
        <v>60</v>
      </c>
      <c r="AE38"/>
    </row>
    <row r="39" spans="1:31" ht="12.75">
      <c r="A39" s="18" t="s">
        <v>430</v>
      </c>
      <c r="B39" s="18" t="s">
        <v>337</v>
      </c>
      <c r="C39" s="77"/>
      <c r="D39" s="7"/>
      <c r="E39" s="7"/>
      <c r="F39" s="7"/>
      <c r="G39" s="10">
        <f t="shared" si="3"/>
        <v>0</v>
      </c>
      <c r="H39" s="10">
        <f t="shared" si="4"/>
        <v>0</v>
      </c>
      <c r="I39" s="64">
        <f>SUMIF(PrefetchDBDetails!$A:$A,$A39,PrefetchDBDetails!J:J)*(1+$AC$5)+IF(C39&gt;0,$AC$6/AD39+$AC$7/60,0)</f>
        <v>0</v>
      </c>
      <c r="J39" s="64">
        <f t="shared" si="5"/>
        <v>0</v>
      </c>
      <c r="K39" s="64">
        <f>SUMIF(PrefetchDBDetails!$A:$A,$A39,PrefetchDBDetails!K:K)</f>
        <v>0</v>
      </c>
      <c r="L39" s="65">
        <f>SUMIF(PrefetchDBDetails!$A:$A,$A39,PrefetchDBDetails!L:L)</f>
        <v>0</v>
      </c>
      <c r="M39" s="64">
        <f>SUMIF(PrefetchDBDetails!$A:$A,$A39,PrefetchDBDetails!M:M)</f>
        <v>0</v>
      </c>
      <c r="N39" s="65">
        <f>SUMIF(PrefetchDBDetails!$A:$A,$A39,PrefetchDBDetails!N:N)</f>
        <v>0</v>
      </c>
      <c r="O39" s="64">
        <f>SUMIF(PrefetchDBDetails!$A:$A,$A39,PrefetchDBDetails!O:O)</f>
        <v>0</v>
      </c>
      <c r="Y39" s="29"/>
      <c r="AC39" s="1"/>
      <c r="AD39">
        <v>60</v>
      </c>
      <c r="AE39"/>
    </row>
    <row r="40" spans="1:31" ht="12.75">
      <c r="A40" s="1" t="s">
        <v>564</v>
      </c>
      <c r="B40" s="7" t="s">
        <v>263</v>
      </c>
      <c r="C40" s="77"/>
      <c r="D40" s="7"/>
      <c r="E40" s="7"/>
      <c r="F40" s="7"/>
      <c r="G40" s="10">
        <f t="shared" si="3"/>
        <v>0</v>
      </c>
      <c r="H40" s="10">
        <f t="shared" si="4"/>
        <v>0</v>
      </c>
      <c r="I40" s="64">
        <f>SUMIF(PrefetchDBDetails!$A:$A,$A40,PrefetchDBDetails!J:J)*(1+$AC$5)+IF(C40&gt;0,$AC$6/AD40+$AC$7/60,0)</f>
        <v>0</v>
      </c>
      <c r="J40" s="64">
        <f t="shared" si="5"/>
        <v>0</v>
      </c>
      <c r="K40" s="64">
        <f>SUMIF(PrefetchDBDetails!$A:$A,$A40,PrefetchDBDetails!K:K)</f>
        <v>0</v>
      </c>
      <c r="L40" s="65">
        <f>SUMIF(PrefetchDBDetails!$A:$A,$A40,PrefetchDBDetails!L:L)</f>
        <v>0</v>
      </c>
      <c r="M40" s="64">
        <f>SUMIF(PrefetchDBDetails!$A:$A,$A40,PrefetchDBDetails!M:M)</f>
        <v>0</v>
      </c>
      <c r="N40" s="65">
        <f>SUMIF(PrefetchDBDetails!$A:$A,$A40,PrefetchDBDetails!N:N)</f>
        <v>0</v>
      </c>
      <c r="O40" s="64">
        <f>SUMIF(PrefetchDBDetails!$A:$A,$A40,PrefetchDBDetails!O:O)</f>
        <v>0</v>
      </c>
      <c r="Y40" s="29"/>
      <c r="AC40" s="1"/>
      <c r="AD40">
        <v>60</v>
      </c>
      <c r="AE40"/>
    </row>
    <row r="41" spans="1:31" ht="12" customHeight="1">
      <c r="A41" s="7" t="s">
        <v>1481</v>
      </c>
      <c r="B41" s="7" t="s">
        <v>1490</v>
      </c>
      <c r="C41" s="77"/>
      <c r="D41" s="7"/>
      <c r="E41" s="7"/>
      <c r="F41" s="7"/>
      <c r="G41" s="10">
        <f t="shared" si="3"/>
        <v>0</v>
      </c>
      <c r="H41" s="10">
        <f t="shared" si="4"/>
        <v>0</v>
      </c>
      <c r="I41" s="64">
        <f>SUMIF(PrefetchDBDetails!$A:$A,$A41,PrefetchDBDetails!J:J)*(1+$AC$5)+IF(C41&gt;0,$AC$6/AD41+$AC$7/60,0)</f>
        <v>0</v>
      </c>
      <c r="J41" s="64">
        <f t="shared" si="5"/>
        <v>0</v>
      </c>
      <c r="K41" s="64">
        <f>SUMIF(PrefetchDBDetails!$A:$A,$A41,PrefetchDBDetails!K:K)</f>
        <v>0</v>
      </c>
      <c r="L41" s="65">
        <f>SUMIF(PrefetchDBDetails!$A:$A,$A41,PrefetchDBDetails!L:L)</f>
        <v>0</v>
      </c>
      <c r="M41" s="64">
        <f>SUMIF(PrefetchDBDetails!$A:$A,$A41,PrefetchDBDetails!M:M)</f>
        <v>0</v>
      </c>
      <c r="N41" s="65">
        <f>SUMIF(PrefetchDBDetails!$A:$A,$A41,PrefetchDBDetails!N:N)</f>
        <v>0</v>
      </c>
      <c r="O41" s="64">
        <f>SUMIF(PrefetchDBDetails!$A:$A,$A41,PrefetchDBDetails!O:O)</f>
        <v>0</v>
      </c>
      <c r="Y41" s="29"/>
      <c r="AC41" s="1"/>
      <c r="AD41">
        <v>60</v>
      </c>
      <c r="AE41"/>
    </row>
    <row r="42" spans="1:31" ht="12" customHeight="1">
      <c r="A42" s="1" t="s">
        <v>553</v>
      </c>
      <c r="B42" s="18" t="s">
        <v>2031</v>
      </c>
      <c r="C42" s="77"/>
      <c r="D42" s="7"/>
      <c r="E42" s="7"/>
      <c r="F42" s="7"/>
      <c r="G42" s="10">
        <f t="shared" si="3"/>
        <v>0</v>
      </c>
      <c r="H42" s="10">
        <f t="shared" si="4"/>
        <v>0</v>
      </c>
      <c r="I42" s="64">
        <f>SUMIF(PrefetchDBDetails!$A:$A,$A42,PrefetchDBDetails!J:J)*(1+$AC$5)+IF(C42&gt;0,$AC$6/AD42+$AC$7/60,0)</f>
        <v>0</v>
      </c>
      <c r="J42" s="64">
        <f t="shared" si="5"/>
        <v>0</v>
      </c>
      <c r="K42" s="64">
        <f>SUMIF(PrefetchDBDetails!$A:$A,$A42,PrefetchDBDetails!K:K)</f>
        <v>0</v>
      </c>
      <c r="L42" s="65">
        <f>SUMIF(PrefetchDBDetails!$A:$A,$A42,PrefetchDBDetails!L:L)</f>
        <v>0</v>
      </c>
      <c r="M42" s="64">
        <f>SUMIF(PrefetchDBDetails!$A:$A,$A42,PrefetchDBDetails!M:M)</f>
        <v>0</v>
      </c>
      <c r="N42" s="65">
        <f>SUMIF(PrefetchDBDetails!$A:$A,$A42,PrefetchDBDetails!N:N)</f>
        <v>0</v>
      </c>
      <c r="O42" s="64">
        <f>SUMIF(PrefetchDBDetails!$A:$A,$A42,PrefetchDBDetails!O:O)</f>
        <v>0</v>
      </c>
      <c r="Y42" s="29"/>
      <c r="AC42" s="1"/>
      <c r="AD42">
        <v>60</v>
      </c>
      <c r="AE42"/>
    </row>
    <row r="43" spans="1:31" ht="12.75">
      <c r="A43" s="7" t="s">
        <v>2077</v>
      </c>
      <c r="B43" s="13" t="s">
        <v>2150</v>
      </c>
      <c r="C43" s="7"/>
      <c r="D43" s="76"/>
      <c r="E43" s="7"/>
      <c r="F43" s="7"/>
      <c r="G43" s="10">
        <f t="shared" si="3"/>
        <v>0</v>
      </c>
      <c r="H43" s="10">
        <f t="shared" si="4"/>
        <v>0</v>
      </c>
      <c r="I43" s="64">
        <f>SUMIF(PrefetchDBDetails!$A:$A,$A43,PrefetchDBDetails!J:J)*(1+$AC$5)+IF(C43&gt;0,$AC$6/AD43+$AC$7/60,0)</f>
        <v>0</v>
      </c>
      <c r="J43" s="64">
        <f t="shared" si="5"/>
        <v>0</v>
      </c>
      <c r="K43" s="64">
        <f>SUMIF(PrefetchDBDetails!$A:$A,$A43,PrefetchDBDetails!K:K)</f>
        <v>0</v>
      </c>
      <c r="L43" s="65">
        <f>SUMIF(PrefetchDBDetails!$A:$A,$A43,PrefetchDBDetails!L:L)</f>
        <v>0</v>
      </c>
      <c r="M43" s="64">
        <f>SUMIF(PrefetchDBDetails!$A:$A,$A43,PrefetchDBDetails!M:M)</f>
        <v>0</v>
      </c>
      <c r="N43" s="65">
        <f>SUMIF(PrefetchDBDetails!$A:$A,$A43,PrefetchDBDetails!N:N)</f>
        <v>0</v>
      </c>
      <c r="O43" s="64">
        <f>SUMIF(PrefetchDBDetails!$A:$A,$A43,PrefetchDBDetails!O:O)</f>
        <v>0</v>
      </c>
      <c r="AA43"/>
      <c r="AC43" s="1"/>
      <c r="AD43">
        <v>60</v>
      </c>
      <c r="AE43"/>
    </row>
    <row r="44" spans="1:31" ht="12.75">
      <c r="A44" s="7" t="s">
        <v>2110</v>
      </c>
      <c r="B44" s="13" t="s">
        <v>2152</v>
      </c>
      <c r="C44" s="7"/>
      <c r="D44" s="76"/>
      <c r="E44" s="7"/>
      <c r="F44" s="7"/>
      <c r="G44" s="10">
        <f t="shared" si="3"/>
        <v>0</v>
      </c>
      <c r="H44" s="10">
        <f t="shared" si="4"/>
        <v>0</v>
      </c>
      <c r="I44" s="64">
        <f>SUMIF(PrefetchDBDetails!$A:$A,$A44,PrefetchDBDetails!J:J)*(1+$AC$5)+IF(C44&gt;0,$AC$6/AD44+$AC$7/60,0)</f>
        <v>0</v>
      </c>
      <c r="J44" s="64">
        <f t="shared" si="5"/>
        <v>0</v>
      </c>
      <c r="K44" s="64">
        <f>SUMIF(PrefetchDBDetails!$A:$A,$A44,PrefetchDBDetails!K:K)</f>
        <v>0</v>
      </c>
      <c r="L44" s="65">
        <f>SUMIF(PrefetchDBDetails!$A:$A,$A44,PrefetchDBDetails!L:L)</f>
        <v>0</v>
      </c>
      <c r="M44" s="64">
        <f>SUMIF(PrefetchDBDetails!$A:$A,$A44,PrefetchDBDetails!M:M)</f>
        <v>0</v>
      </c>
      <c r="N44" s="65">
        <f>SUMIF(PrefetchDBDetails!$A:$A,$A44,PrefetchDBDetails!N:N)</f>
        <v>0</v>
      </c>
      <c r="O44" s="64">
        <f>SUMIF(PrefetchDBDetails!$A:$A,$A44,PrefetchDBDetails!O:O)</f>
        <v>0</v>
      </c>
      <c r="AA44"/>
      <c r="AC44" s="1"/>
      <c r="AD44">
        <v>60</v>
      </c>
      <c r="AE44"/>
    </row>
    <row r="45" spans="1:31" ht="12" customHeight="1">
      <c r="A45" s="18" t="s">
        <v>2094</v>
      </c>
      <c r="B45" s="7" t="s">
        <v>2154</v>
      </c>
      <c r="C45" s="7"/>
      <c r="D45" s="19"/>
      <c r="E45" s="7"/>
      <c r="F45" s="7"/>
      <c r="G45" s="10">
        <f t="shared" si="3"/>
        <v>0</v>
      </c>
      <c r="H45" s="10">
        <f t="shared" si="4"/>
        <v>0</v>
      </c>
      <c r="I45" s="64">
        <f>SUMIF(PrefetchDBDetails!$A:$A,$A45,PrefetchDBDetails!J:J)*(1+$AC$5)+IF(C45&gt;0,$AC$6/AD45+$AC$7/60,0)</f>
        <v>0</v>
      </c>
      <c r="J45" s="64">
        <f t="shared" si="5"/>
        <v>0</v>
      </c>
      <c r="K45" s="64">
        <f>SUMIF(PrefetchDBDetails!$A:$A,$A45,PrefetchDBDetails!K:K)</f>
        <v>0</v>
      </c>
      <c r="L45" s="65">
        <f>SUMIF(PrefetchDBDetails!$A:$A,$A45,PrefetchDBDetails!L:L)</f>
        <v>0</v>
      </c>
      <c r="M45" s="64">
        <f>SUMIF(PrefetchDBDetails!$A:$A,$A45,PrefetchDBDetails!M:M)</f>
        <v>0</v>
      </c>
      <c r="N45" s="65">
        <f>SUMIF(PrefetchDBDetails!$A:$A,$A45,PrefetchDBDetails!N:N)</f>
        <v>0</v>
      </c>
      <c r="O45" s="64">
        <f>SUMIF(PrefetchDBDetails!$A:$A,$A45,PrefetchDBDetails!O:O)</f>
        <v>0</v>
      </c>
      <c r="AA45"/>
      <c r="AC45" s="1"/>
      <c r="AD45">
        <v>60</v>
      </c>
      <c r="AE45"/>
    </row>
    <row r="46" spans="1:31" ht="12" customHeight="1">
      <c r="A46" s="18" t="s">
        <v>2120</v>
      </c>
      <c r="B46" s="7" t="s">
        <v>2149</v>
      </c>
      <c r="C46" s="7"/>
      <c r="D46" s="19"/>
      <c r="E46" s="7"/>
      <c r="F46" s="7"/>
      <c r="G46" s="10">
        <f t="shared" si="3"/>
        <v>0</v>
      </c>
      <c r="H46" s="10">
        <f t="shared" si="4"/>
        <v>0</v>
      </c>
      <c r="I46" s="41">
        <f>SUMIF(PrefetchDBDetails!$A:$A,$A46,PrefetchDBDetails!J:J)*(1+$AC$5)+IF(C46&gt;0,$AC$6/AD46+$AC$7/60,0)</f>
        <v>0</v>
      </c>
      <c r="J46" s="41">
        <f t="shared" si="5"/>
        <v>0</v>
      </c>
      <c r="K46" s="41">
        <f>SUMIF(PrefetchDBDetails!$A:$A,$A46,PrefetchDBDetails!K:K)</f>
        <v>0</v>
      </c>
      <c r="L46" s="25">
        <f>SUMIF(PrefetchDBDetails!$A:$A,$A46,PrefetchDBDetails!L:L)</f>
        <v>0</v>
      </c>
      <c r="M46" s="41">
        <f>SUMIF(PrefetchDBDetails!$A:$A,$A46,PrefetchDBDetails!M:M)</f>
        <v>0</v>
      </c>
      <c r="N46" s="25">
        <f>SUMIF(PrefetchDBDetails!$A:$A,$A46,PrefetchDBDetails!N:N)</f>
        <v>0</v>
      </c>
      <c r="O46" s="41">
        <f>SUMIF(PrefetchDBDetails!$A:$A,$A46,PrefetchDBDetails!O:O)</f>
        <v>0</v>
      </c>
      <c r="AA46"/>
      <c r="AC46" s="1"/>
      <c r="AD46">
        <v>60</v>
      </c>
      <c r="AE46"/>
    </row>
    <row r="47" spans="1:31" ht="12.75">
      <c r="A47" s="7" t="s">
        <v>2131</v>
      </c>
      <c r="B47" s="7" t="s">
        <v>2153</v>
      </c>
      <c r="C47" s="7"/>
      <c r="D47" s="19"/>
      <c r="E47" s="7"/>
      <c r="F47" s="7"/>
      <c r="G47" s="10">
        <f t="shared" si="3"/>
        <v>0</v>
      </c>
      <c r="H47" s="10">
        <f t="shared" si="4"/>
        <v>0</v>
      </c>
      <c r="I47" s="5">
        <f>SUMIF(PrefetchDBDetails!$A:$A,$A47,PrefetchDBDetails!J:J)*(1+$AC$5)+IF(C47&gt;0,$AC$6/AD47+$AC$7/60,0)</f>
        <v>0</v>
      </c>
      <c r="J47" s="5">
        <f t="shared" si="5"/>
        <v>0</v>
      </c>
      <c r="K47" s="5">
        <f>SUMIF(PrefetchDBDetails!$A:$A,$A47,PrefetchDBDetails!K:K)</f>
        <v>0</v>
      </c>
      <c r="L47" s="25">
        <f>SUMIF(PrefetchDBDetails!$A:$A,$A47,PrefetchDBDetails!L:L)</f>
        <v>0</v>
      </c>
      <c r="M47" s="41">
        <f>SUMIF(PrefetchDBDetails!$A:$A,$A47,PrefetchDBDetails!M:M)</f>
        <v>0</v>
      </c>
      <c r="N47" s="25">
        <v>0</v>
      </c>
      <c r="O47" s="41">
        <f>SUMIF(PrefetchDBDetails!$A:$A,$A47,PrefetchDBDetails!O:O)</f>
        <v>0</v>
      </c>
      <c r="AA47"/>
      <c r="AC47" s="1"/>
      <c r="AD47">
        <v>60</v>
      </c>
      <c r="AE47"/>
    </row>
    <row r="48" spans="1:31" ht="12.75">
      <c r="A48" s="7" t="s">
        <v>2147</v>
      </c>
      <c r="B48" s="7" t="s">
        <v>2148</v>
      </c>
      <c r="C48" s="7"/>
      <c r="D48" s="19"/>
      <c r="E48" s="7"/>
      <c r="F48" s="7"/>
      <c r="G48" s="10">
        <f t="shared" si="3"/>
        <v>0</v>
      </c>
      <c r="H48" s="10">
        <f t="shared" si="4"/>
        <v>0</v>
      </c>
      <c r="I48" s="5">
        <f>SUMIF(PrefetchDBDetails!$A:$A,$A48,PrefetchDBDetails!J:J)*(1+$AC$5)+IF(C48&gt;0,$AC$6/AD48+$AC$7/60,0)</f>
        <v>0</v>
      </c>
      <c r="J48" s="5">
        <f t="shared" si="5"/>
        <v>0</v>
      </c>
      <c r="K48" s="5">
        <f>SUMIF(PrefetchDBDetails!$A:$A,$A48,PrefetchDBDetails!K:K)</f>
        <v>0</v>
      </c>
      <c r="L48" s="25">
        <f>SUMIF(PrefetchDBDetails!$A:$A,$A48,PrefetchDBDetails!L:L)</f>
        <v>0</v>
      </c>
      <c r="M48" s="41">
        <f>SUMIF(PrefetchDBDetails!$A:$A,$A48,PrefetchDBDetails!M:M)</f>
        <v>0</v>
      </c>
      <c r="N48" s="25">
        <v>0</v>
      </c>
      <c r="O48" s="41">
        <f>SUMIF(PrefetchDBDetails!$A:$A,$A48,PrefetchDBDetails!O:O)</f>
        <v>0</v>
      </c>
      <c r="AA48"/>
      <c r="AC48" s="1"/>
      <c r="AD48">
        <v>60</v>
      </c>
      <c r="AE48"/>
    </row>
    <row r="49" spans="1:31" ht="12.75">
      <c r="A49" s="7" t="s">
        <v>1820</v>
      </c>
      <c r="B49" s="7" t="s">
        <v>1821</v>
      </c>
      <c r="C49" s="76"/>
      <c r="D49" s="7"/>
      <c r="E49" s="19">
        <v>200</v>
      </c>
      <c r="F49" s="7" t="s">
        <v>588</v>
      </c>
      <c r="G49" s="10">
        <f t="shared" si="3"/>
        <v>0</v>
      </c>
      <c r="H49" s="10">
        <f t="shared" si="4"/>
        <v>0</v>
      </c>
      <c r="I49" s="64">
        <f>SUMIF(PrefetchDBDetails!$A:$A,$A49,PrefetchDBDetails!J:J)*(1+$AC$5)+IF(C49&gt;0,$AC$6/AD49+$AC$7/60,0)</f>
        <v>0</v>
      </c>
      <c r="J49" s="64">
        <f t="shared" si="5"/>
        <v>0</v>
      </c>
      <c r="K49" s="64">
        <f>SUMIF(PrefetchDBDetails!$A:$A,$A49,PrefetchDBDetails!K:K)</f>
        <v>0</v>
      </c>
      <c r="L49" s="65">
        <f>SUMIF(PrefetchDBDetails!$A:$A,$A49,PrefetchDBDetails!L:L)</f>
        <v>0</v>
      </c>
      <c r="M49" s="64">
        <f>SUMIF(PrefetchDBDetails!$A:$A,$A49,PrefetchDBDetails!M:M)</f>
        <v>0</v>
      </c>
      <c r="N49" s="65">
        <f>SUMIF(PrefetchDBDetails!$A:$A,$A49,PrefetchDBDetails!N:N)</f>
        <v>0</v>
      </c>
      <c r="O49" s="64">
        <f>SUMIF(PrefetchDBDetails!$A:$A,$A49,PrefetchDBDetails!O:O)</f>
        <v>0</v>
      </c>
      <c r="Y49" s="29"/>
      <c r="AC49" s="1"/>
      <c r="AD49">
        <v>60</v>
      </c>
      <c r="AE49"/>
    </row>
    <row r="50" spans="1:31" ht="12.75">
      <c r="A50" s="1" t="s">
        <v>562</v>
      </c>
      <c r="B50" s="7" t="s">
        <v>2032</v>
      </c>
      <c r="C50" s="77"/>
      <c r="D50" s="19"/>
      <c r="E50" s="19">
        <v>500</v>
      </c>
      <c r="F50" s="7" t="s">
        <v>608</v>
      </c>
      <c r="G50" s="10">
        <f t="shared" si="3"/>
        <v>0</v>
      </c>
      <c r="H50" s="10">
        <f t="shared" si="4"/>
        <v>0</v>
      </c>
      <c r="I50" s="64">
        <f>SUMIF(PrefetchDBDetails!$A:$A,$A50,PrefetchDBDetails!J:J)*(1+$AC$5)+IF(C50&gt;0,$AC$6/AD50+$AC$7/60,0)</f>
        <v>0</v>
      </c>
      <c r="J50" s="64">
        <f t="shared" si="5"/>
        <v>0</v>
      </c>
      <c r="K50" s="64">
        <f>SUMIF(PrefetchDBDetails!$A:$A,$A50,PrefetchDBDetails!K:K)</f>
        <v>0</v>
      </c>
      <c r="L50" s="65">
        <f>SUMIF(PrefetchDBDetails!$A:$A,$A50,PrefetchDBDetails!L:L)</f>
        <v>0</v>
      </c>
      <c r="M50" s="64">
        <f>SUMIF(PrefetchDBDetails!$A:$A,$A50,PrefetchDBDetails!M:M)</f>
        <v>0</v>
      </c>
      <c r="N50" s="65">
        <f>SUMIF(PrefetchDBDetails!$A:$A,$A50,PrefetchDBDetails!N:N)</f>
        <v>0</v>
      </c>
      <c r="O50" s="64">
        <f>SUMIF(PrefetchDBDetails!$A:$A,$A50,PrefetchDBDetails!O:O)</f>
        <v>0</v>
      </c>
      <c r="Y50" s="29"/>
      <c r="AC50" s="1"/>
      <c r="AD50">
        <v>60</v>
      </c>
      <c r="AE50"/>
    </row>
    <row r="51" spans="1:31" ht="12" customHeight="1">
      <c r="A51" s="1" t="s">
        <v>557</v>
      </c>
      <c r="B51" s="18" t="s">
        <v>101</v>
      </c>
      <c r="C51" s="76"/>
      <c r="D51" s="7"/>
      <c r="E51" s="7"/>
      <c r="F51" s="7"/>
      <c r="G51" s="10">
        <f t="shared" si="3"/>
        <v>0</v>
      </c>
      <c r="H51" s="10">
        <f t="shared" si="4"/>
        <v>0</v>
      </c>
      <c r="I51" s="41">
        <f>SUMIF(PrefetchDBDetails!$A:$A,$A51,PrefetchDBDetails!J:J)*(1+$AC$5)+IF(C51&gt;0,$AC$6/AD51+$AC$7/60,0)</f>
        <v>0</v>
      </c>
      <c r="J51" s="41">
        <f t="shared" si="5"/>
        <v>0</v>
      </c>
      <c r="K51" s="41">
        <f>SUMIF(PrefetchDBDetails!$A:$A,$A51,PrefetchDBDetails!K:K)</f>
        <v>0</v>
      </c>
      <c r="L51" s="25">
        <f>SUMIF(PrefetchDBDetails!$A:$A,$A51,PrefetchDBDetails!L:L)</f>
        <v>0</v>
      </c>
      <c r="M51" s="41">
        <f>SUMIF(PrefetchDBDetails!$A:$A,$A51,PrefetchDBDetails!M:M)</f>
        <v>0</v>
      </c>
      <c r="N51" s="25">
        <f>SUMIF(PrefetchDBDetails!$A:$A,$A51,PrefetchDBDetails!N:N)</f>
        <v>0</v>
      </c>
      <c r="O51" s="41">
        <f>SUMIF(PrefetchDBDetails!$A:$A,$A51,PrefetchDBDetails!O:O)</f>
        <v>0</v>
      </c>
      <c r="Y51" s="29"/>
      <c r="AC51" s="1"/>
      <c r="AD51">
        <v>60</v>
      </c>
      <c r="AE51"/>
    </row>
    <row r="52" spans="1:31" ht="12.75">
      <c r="A52" s="1" t="s">
        <v>558</v>
      </c>
      <c r="B52" s="18" t="s">
        <v>102</v>
      </c>
      <c r="C52" s="77"/>
      <c r="D52" s="7"/>
      <c r="E52" s="7"/>
      <c r="F52" s="7"/>
      <c r="G52" s="10">
        <f t="shared" si="3"/>
        <v>0</v>
      </c>
      <c r="H52" s="10">
        <f t="shared" si="4"/>
        <v>0</v>
      </c>
      <c r="I52" s="64">
        <f>SUMIF(PrefetchDBDetails!$A:$A,$A52,PrefetchDBDetails!J:J)*(1+$AC$5)+IF(C52&gt;0,$AC$6/AD52+$AC$7/60,0)</f>
        <v>0</v>
      </c>
      <c r="J52" s="64">
        <f t="shared" si="5"/>
        <v>0</v>
      </c>
      <c r="K52" s="64">
        <f>SUMIF(PrefetchDBDetails!$A:$A,$A52,PrefetchDBDetails!K:K)</f>
        <v>0</v>
      </c>
      <c r="L52" s="65">
        <f>SUMIF(PrefetchDBDetails!$A:$A,$A52,PrefetchDBDetails!L:L)</f>
        <v>0</v>
      </c>
      <c r="M52" s="64">
        <f>SUMIF(PrefetchDBDetails!$A:$A,$A52,PrefetchDBDetails!M:M)</f>
        <v>0</v>
      </c>
      <c r="N52" s="65">
        <f>SUMIF(PrefetchDBDetails!$A:$A,$A52,PrefetchDBDetails!N:N)</f>
        <v>0</v>
      </c>
      <c r="O52" s="64">
        <f>SUMIF(PrefetchDBDetails!$A:$A,$A52,PrefetchDBDetails!O:O)</f>
        <v>0</v>
      </c>
      <c r="Y52" s="29"/>
      <c r="AC52" s="1"/>
      <c r="AD52">
        <v>60</v>
      </c>
      <c r="AE52"/>
    </row>
    <row r="53" spans="1:31" ht="12.75" customHeight="1">
      <c r="A53" s="7" t="s">
        <v>1643</v>
      </c>
      <c r="B53" s="7" t="s">
        <v>1642</v>
      </c>
      <c r="C53" s="77"/>
      <c r="D53" s="7"/>
      <c r="E53" s="19">
        <v>200</v>
      </c>
      <c r="F53" s="12" t="s">
        <v>1964</v>
      </c>
      <c r="G53" s="10">
        <f t="shared" si="3"/>
        <v>0</v>
      </c>
      <c r="H53" s="10">
        <f t="shared" si="4"/>
        <v>0</v>
      </c>
      <c r="I53" s="64">
        <f>SUMIF(PrefetchDBDetails!$A:$A,$A53,PrefetchDBDetails!J:J)*(1+$AC$5)+IF(C53&gt;0,$AC$6/AD53+$AC$7/60,0)</f>
        <v>0</v>
      </c>
      <c r="J53" s="64">
        <f t="shared" si="5"/>
        <v>0</v>
      </c>
      <c r="K53" s="64">
        <f>SUMIF(PrefetchDBDetails!$A:$A,$A53,PrefetchDBDetails!K:K)</f>
        <v>0</v>
      </c>
      <c r="L53" s="65">
        <f>SUMIF(PrefetchDBDetails!$A:$A,$A53,PrefetchDBDetails!L:L)</f>
        <v>0</v>
      </c>
      <c r="M53" s="64">
        <f>SUMIF(PrefetchDBDetails!$A:$A,$A53,PrefetchDBDetails!M:M)</f>
        <v>0</v>
      </c>
      <c r="N53" s="65">
        <f>SUMIF(PrefetchDBDetails!$A:$A,$A53,PrefetchDBDetails!N:N)</f>
        <v>0</v>
      </c>
      <c r="O53" s="64">
        <f>SUMIF(PrefetchDBDetails!$A:$A,$A53,PrefetchDBDetails!O:O)</f>
        <v>0</v>
      </c>
      <c r="Y53" s="29"/>
      <c r="AC53" s="1"/>
      <c r="AD53">
        <v>5</v>
      </c>
      <c r="AE53"/>
    </row>
    <row r="54" spans="1:31" ht="12" customHeight="1">
      <c r="A54" s="1" t="s">
        <v>565</v>
      </c>
      <c r="B54" s="7" t="s">
        <v>2044</v>
      </c>
      <c r="C54" s="77"/>
      <c r="D54" s="7"/>
      <c r="G54" s="10">
        <f t="shared" si="3"/>
        <v>0</v>
      </c>
      <c r="H54" s="10">
        <f t="shared" si="4"/>
        <v>0</v>
      </c>
      <c r="I54" s="64">
        <f>SUMIF(PrefetchDBDetails!$A:$A,$A54,PrefetchDBDetails!J:J)*(1+$AC$5)+IF(C54&gt;0,$AC$6/AD54+$AC$7/60,0)</f>
        <v>0</v>
      </c>
      <c r="J54" s="64">
        <f t="shared" si="5"/>
        <v>0</v>
      </c>
      <c r="K54" s="64">
        <f>SUMIF(PrefetchDBDetails!$A:$A,$A54,PrefetchDBDetails!K:K)</f>
        <v>0</v>
      </c>
      <c r="L54" s="65">
        <f>SUMIF(PrefetchDBDetails!$A:$A,$A54,PrefetchDBDetails!L:L)</f>
        <v>0</v>
      </c>
      <c r="M54" s="64">
        <f>SUMIF(PrefetchDBDetails!$A:$A,$A54,PrefetchDBDetails!M:M)</f>
        <v>0</v>
      </c>
      <c r="N54" s="65">
        <f>SUMIF(PrefetchDBDetails!$A:$A,$A54,PrefetchDBDetails!N:N)</f>
        <v>0</v>
      </c>
      <c r="O54" s="64">
        <f>SUMIF(PrefetchDBDetails!$A:$A,$A54,PrefetchDBDetails!O:O)</f>
        <v>0</v>
      </c>
      <c r="Y54" s="29"/>
      <c r="AC54" s="1"/>
      <c r="AD54">
        <v>60</v>
      </c>
      <c r="AE54"/>
    </row>
    <row r="55" spans="1:31" ht="12.75" customHeight="1">
      <c r="A55" s="18" t="s">
        <v>431</v>
      </c>
      <c r="B55" s="18" t="s">
        <v>432</v>
      </c>
      <c r="C55" s="77"/>
      <c r="D55" s="7"/>
      <c r="E55" s="7"/>
      <c r="F55" s="7"/>
      <c r="G55" s="10">
        <f t="shared" si="3"/>
        <v>0</v>
      </c>
      <c r="H55" s="10">
        <f t="shared" si="4"/>
        <v>0</v>
      </c>
      <c r="I55" s="64">
        <f>SUMIF(PrefetchDBDetails!$A:$A,$A55,PrefetchDBDetails!J:J)*(1+$AC$5)+IF(C55&gt;0,$AC$6/AD55+$AC$7/60,0)</f>
        <v>0</v>
      </c>
      <c r="J55" s="64">
        <f t="shared" si="5"/>
        <v>0</v>
      </c>
      <c r="K55" s="64">
        <f>SUMIF(PrefetchDBDetails!$A:$A,$A55,PrefetchDBDetails!K:K)</f>
        <v>0</v>
      </c>
      <c r="L55" s="65">
        <f>SUMIF(PrefetchDBDetails!$A:$A,$A55,PrefetchDBDetails!L:L)</f>
        <v>0</v>
      </c>
      <c r="M55" s="64">
        <f>SUMIF(PrefetchDBDetails!$A:$A,$A55,PrefetchDBDetails!M:M)</f>
        <v>0</v>
      </c>
      <c r="N55" s="65">
        <f>SUMIF(PrefetchDBDetails!$A:$A,$A55,PrefetchDBDetails!N:N)</f>
        <v>0</v>
      </c>
      <c r="O55" s="64">
        <f>SUMIF(PrefetchDBDetails!$A:$A,$A55,PrefetchDBDetails!O:O)</f>
        <v>0</v>
      </c>
      <c r="Y55" s="29"/>
      <c r="AC55" s="1"/>
      <c r="AD55">
        <v>5</v>
      </c>
      <c r="AE55"/>
    </row>
    <row r="56" spans="1:31" ht="12.75">
      <c r="A56" s="1" t="s">
        <v>563</v>
      </c>
      <c r="B56" s="7" t="s">
        <v>2034</v>
      </c>
      <c r="C56" s="77"/>
      <c r="D56" s="7"/>
      <c r="E56" s="19">
        <v>50</v>
      </c>
      <c r="F56" s="7" t="s">
        <v>822</v>
      </c>
      <c r="G56" s="10">
        <f t="shared" si="3"/>
        <v>0</v>
      </c>
      <c r="H56" s="10">
        <f t="shared" si="4"/>
        <v>0</v>
      </c>
      <c r="I56" s="64">
        <f>SUMIF(PrefetchDBDetails!$A:$A,$A56,PrefetchDBDetails!J:J)*(1+$AC$5)+IF(C56&gt;0,$AC$6/AD56+$AC$7/60,0)</f>
        <v>0</v>
      </c>
      <c r="J56" s="64">
        <f t="shared" si="5"/>
        <v>0</v>
      </c>
      <c r="K56" s="64">
        <f>SUMIF(PrefetchDBDetails!$A:$A,$A56,PrefetchDBDetails!K:K)</f>
        <v>0</v>
      </c>
      <c r="L56" s="65">
        <f>SUMIF(PrefetchDBDetails!$A:$A,$A56,PrefetchDBDetails!L:L)</f>
        <v>0</v>
      </c>
      <c r="M56" s="64">
        <f>SUMIF(PrefetchDBDetails!$A:$A,$A56,PrefetchDBDetails!M:M)</f>
        <v>0</v>
      </c>
      <c r="N56" s="65">
        <f>SUMIF(PrefetchDBDetails!$A:$A,$A56,PrefetchDBDetails!N:N)</f>
        <v>0</v>
      </c>
      <c r="O56" s="64">
        <f>SUMIF(PrefetchDBDetails!$A:$A,$A56,PrefetchDBDetails!O:O)</f>
        <v>0</v>
      </c>
      <c r="Y56" s="29"/>
      <c r="AC56" s="1"/>
      <c r="AD56">
        <v>60</v>
      </c>
      <c r="AE56"/>
    </row>
    <row r="57" spans="1:31" ht="12" customHeight="1">
      <c r="A57" s="18" t="s">
        <v>1120</v>
      </c>
      <c r="B57" s="18" t="s">
        <v>1265</v>
      </c>
      <c r="C57" s="77"/>
      <c r="D57" s="7"/>
      <c r="E57" s="7"/>
      <c r="F57" s="7"/>
      <c r="G57" s="10">
        <f t="shared" si="3"/>
        <v>0</v>
      </c>
      <c r="H57" s="10">
        <f t="shared" si="4"/>
        <v>0</v>
      </c>
      <c r="I57" s="64">
        <f>SUMIF(PrefetchDBDetails!$A:$A,$A57,PrefetchDBDetails!J:J)*(1+$AC$5)+IF(C57&gt;0,$AC$6/AD57+$AC$7/60,0)</f>
        <v>0</v>
      </c>
      <c r="J57" s="64">
        <f t="shared" si="5"/>
        <v>0</v>
      </c>
      <c r="K57" s="64">
        <f>SUMIF(PrefetchDBDetails!$A:$A,$A57,PrefetchDBDetails!K:K)</f>
        <v>0</v>
      </c>
      <c r="L57" s="65">
        <f>SUMIF(PrefetchDBDetails!$A:$A,$A57,PrefetchDBDetails!L:L)</f>
        <v>0</v>
      </c>
      <c r="M57" s="64">
        <f>SUMIF(PrefetchDBDetails!$A:$A,$A57,PrefetchDBDetails!M:M)</f>
        <v>0</v>
      </c>
      <c r="N57" s="65">
        <f>SUMIF(PrefetchDBDetails!$A:$A,$A57,PrefetchDBDetails!N:N)</f>
        <v>0</v>
      </c>
      <c r="O57" s="64">
        <f>SUMIF(PrefetchDBDetails!$A:$A,$A57,PrefetchDBDetails!O:O)</f>
        <v>0</v>
      </c>
      <c r="Y57" s="29"/>
      <c r="AC57" s="1"/>
      <c r="AD57">
        <v>60</v>
      </c>
      <c r="AE57"/>
    </row>
    <row r="58" spans="1:31" ht="12.75" customHeight="1">
      <c r="A58" s="7" t="s">
        <v>1437</v>
      </c>
      <c r="B58" s="18" t="s">
        <v>1453</v>
      </c>
      <c r="C58" s="77"/>
      <c r="D58" s="7"/>
      <c r="E58" s="7"/>
      <c r="F58" s="7"/>
      <c r="G58" s="10">
        <f t="shared" si="3"/>
        <v>0</v>
      </c>
      <c r="H58" s="10">
        <f t="shared" si="4"/>
        <v>0</v>
      </c>
      <c r="I58" s="64">
        <f>SUMIF(PrefetchDBDetails!$A:$A,$A58,PrefetchDBDetails!J:J)*(1+$AC$5)+IF(C58&gt;0,$AC$6/AD58+$AC$7/60,0)</f>
        <v>0</v>
      </c>
      <c r="J58" s="64">
        <f t="shared" si="5"/>
        <v>0</v>
      </c>
      <c r="K58" s="64">
        <f>SUMIF(PrefetchDBDetails!$A:$A,$A58,PrefetchDBDetails!K:K)</f>
        <v>0</v>
      </c>
      <c r="L58" s="65">
        <f>SUMIF(PrefetchDBDetails!$A:$A,$A58,PrefetchDBDetails!L:L)</f>
        <v>0</v>
      </c>
      <c r="M58" s="64">
        <f>SUMIF(PrefetchDBDetails!$A:$A,$A58,PrefetchDBDetails!M:M)</f>
        <v>0</v>
      </c>
      <c r="N58" s="65">
        <f>SUMIF(PrefetchDBDetails!$A:$A,$A58,PrefetchDBDetails!N:N)</f>
        <v>0</v>
      </c>
      <c r="O58" s="64">
        <f>SUMIF(PrefetchDBDetails!$A:$A,$A58,PrefetchDBDetails!O:O)</f>
        <v>0</v>
      </c>
      <c r="Y58" s="29"/>
      <c r="AC58" s="1"/>
      <c r="AD58">
        <v>60</v>
      </c>
      <c r="AE58"/>
    </row>
    <row r="59" spans="1:31" ht="12.75" customHeight="1">
      <c r="A59" s="7" t="s">
        <v>1590</v>
      </c>
      <c r="B59" s="7" t="s">
        <v>1606</v>
      </c>
      <c r="C59" s="77"/>
      <c r="D59" s="7"/>
      <c r="E59" s="19">
        <v>1000</v>
      </c>
      <c r="F59" s="12" t="s">
        <v>1980</v>
      </c>
      <c r="G59" s="10">
        <f t="shared" si="3"/>
        <v>0</v>
      </c>
      <c r="H59" s="10">
        <f t="shared" si="4"/>
        <v>0</v>
      </c>
      <c r="I59" s="64">
        <f>SUMIF(PrefetchDBDetails!$A:$A,$A59,PrefetchDBDetails!J:J)*(1+$AC$5)+IF(C59&gt;0,$AC$6/AD59+$AC$7/60,0)</f>
        <v>0</v>
      </c>
      <c r="J59" s="64">
        <f t="shared" si="5"/>
        <v>0</v>
      </c>
      <c r="K59" s="64">
        <f>SUMIF(PrefetchDBDetails!$A:$A,$A59,PrefetchDBDetails!K:K)</f>
        <v>0</v>
      </c>
      <c r="L59" s="65">
        <f>SUMIF(PrefetchDBDetails!$A:$A,$A59,PrefetchDBDetails!L:L)</f>
        <v>0</v>
      </c>
      <c r="M59" s="64">
        <f>SUMIF(PrefetchDBDetails!$A:$A,$A59,PrefetchDBDetails!M:M)</f>
        <v>0</v>
      </c>
      <c r="N59" s="65">
        <f>SUMIF(PrefetchDBDetails!$A:$A,$A59,PrefetchDBDetails!N:N)</f>
        <v>0</v>
      </c>
      <c r="O59" s="64">
        <f>SUMIF(PrefetchDBDetails!$A:$A,$A59,PrefetchDBDetails!O:O)</f>
        <v>0</v>
      </c>
      <c r="Y59" s="29"/>
      <c r="AC59" s="1"/>
      <c r="AD59">
        <v>60</v>
      </c>
      <c r="AE59"/>
    </row>
    <row r="60" spans="1:31" ht="12.75" customHeight="1">
      <c r="A60" s="7" t="s">
        <v>2186</v>
      </c>
      <c r="B60" s="7" t="s">
        <v>2187</v>
      </c>
      <c r="C60" s="77">
        <v>1</v>
      </c>
      <c r="D60" s="7"/>
      <c r="E60" s="7"/>
      <c r="F60" s="7"/>
      <c r="G60" s="10">
        <f t="shared" si="3"/>
        <v>0.08131533329831381</v>
      </c>
      <c r="H60" s="10">
        <f t="shared" si="4"/>
        <v>0.11138019211714056</v>
      </c>
      <c r="I60" s="64">
        <f>SUMIF(PrefetchDBDetails!$A:$A,$A60,PrefetchDBDetails!J:J)*(1+$AC$5)+IF(C60&gt;0,$AC$6/AD60+$AC$7/60,0)</f>
        <v>9950.326416666667</v>
      </c>
      <c r="J60" s="64">
        <f>I60*(C60+D60)</f>
        <v>9950.326416666667</v>
      </c>
      <c r="K60" s="64">
        <f>SUMIF(PrefetchDBDetails!$A:$A,$A60,PrefetchDBDetails!K:K)</f>
        <v>774</v>
      </c>
      <c r="L60" s="65">
        <f>SUMIF(PrefetchDBDetails!$A:$A,$A60,PrefetchDBDetails!L:L)</f>
        <v>774</v>
      </c>
      <c r="M60" s="64">
        <f>SUMIF(PrefetchDBDetails!$A:$A,$A60,PrefetchDBDetails!M:M)</f>
        <v>572.4161523437499</v>
      </c>
      <c r="N60" s="65">
        <f>SUMIF(PrefetchDBDetails!$A:$A,$A60,PrefetchDBDetails!N:N)</f>
        <v>8916480</v>
      </c>
      <c r="O60" s="64">
        <f>SUMIF(PrefetchDBDetails!$A:$A,$A60,PrefetchDBDetails!O:O)</f>
        <v>1539.9252685546871</v>
      </c>
      <c r="Y60" s="29"/>
      <c r="AC60" s="1"/>
      <c r="AD60">
        <v>60</v>
      </c>
      <c r="AE60"/>
    </row>
    <row r="61" spans="1:31" ht="12.75" customHeight="1">
      <c r="A61" s="7" t="s">
        <v>2188</v>
      </c>
      <c r="B61" s="7" t="s">
        <v>2229</v>
      </c>
      <c r="C61" s="77">
        <v>1</v>
      </c>
      <c r="D61" s="7"/>
      <c r="E61" s="19">
        <v>200</v>
      </c>
      <c r="F61" s="12" t="s">
        <v>2245</v>
      </c>
      <c r="G61" s="10">
        <f t="shared" si="3"/>
        <v>0.7327835268162001</v>
      </c>
      <c r="H61" s="10">
        <f t="shared" si="4"/>
        <v>0.776968257765147</v>
      </c>
      <c r="I61" s="64">
        <f>SUMIF(PrefetchDBDetails!$A:$A,$A61,PrefetchDBDetails!J:J)*(1+$AC$5)+IF(C61&gt;0,$AC$6/AD61+$AC$7/60,0)</f>
        <v>66677.73916666665</v>
      </c>
      <c r="J61" s="64">
        <f>I61*(C61+D61)</f>
        <v>66677.73916666665</v>
      </c>
      <c r="K61" s="64">
        <f>SUMIF(PrefetchDBDetails!$A:$A,$A61,PrefetchDBDetails!K:K)</f>
        <v>6975</v>
      </c>
      <c r="L61" s="65">
        <f>SUMIF(PrefetchDBDetails!$A:$A,$A61,PrefetchDBDetails!L:L)</f>
        <v>6975</v>
      </c>
      <c r="M61" s="64">
        <f>SUMIF(PrefetchDBDetails!$A:$A,$A61,PrefetchDBDetails!M:M)</f>
        <v>4092.1735156249997</v>
      </c>
      <c r="N61" s="65">
        <f>SUMIF(PrefetchDBDetails!$A:$A,$A61,PrefetchDBDetails!N:N)</f>
        <v>80352000</v>
      </c>
      <c r="O61" s="64">
        <f>SUMIF(PrefetchDBDetails!$A:$A,$A61,PrefetchDBDetails!O:O)</f>
        <v>10742.242675781246</v>
      </c>
      <c r="Y61" s="29"/>
      <c r="AC61" s="1"/>
      <c r="AD61">
        <v>60</v>
      </c>
      <c r="AE61"/>
    </row>
    <row r="62" spans="1:31" ht="12.75" customHeight="1">
      <c r="A62" s="7" t="s">
        <v>1167</v>
      </c>
      <c r="B62" s="7" t="s">
        <v>1266</v>
      </c>
      <c r="C62" s="77"/>
      <c r="D62" s="7"/>
      <c r="E62" s="7"/>
      <c r="F62" s="7"/>
      <c r="G62" s="10">
        <f t="shared" si="3"/>
        <v>0</v>
      </c>
      <c r="H62" s="10">
        <f t="shared" si="4"/>
        <v>0</v>
      </c>
      <c r="I62" s="64">
        <f>SUMIF(PrefetchDBDetails!$A:$A,$A62,PrefetchDBDetails!J:J)*(1+$AC$5)+IF(C62&gt;0,$AC$6/AD62+$AC$7/60,0)</f>
        <v>0</v>
      </c>
      <c r="J62" s="64">
        <f t="shared" si="5"/>
        <v>0</v>
      </c>
      <c r="K62" s="64">
        <f>SUMIF(PrefetchDBDetails!$A:$A,$A62,PrefetchDBDetails!K:K)</f>
        <v>0</v>
      </c>
      <c r="L62" s="65">
        <f>SUMIF(PrefetchDBDetails!$A:$A,$A62,PrefetchDBDetails!L:L)</f>
        <v>0</v>
      </c>
      <c r="M62" s="64">
        <f>SUMIF(PrefetchDBDetails!$A:$A,$A62,PrefetchDBDetails!M:M)</f>
        <v>0</v>
      </c>
      <c r="N62" s="65">
        <f>SUMIF(PrefetchDBDetails!$A:$A,$A62,PrefetchDBDetails!N:N)</f>
        <v>0</v>
      </c>
      <c r="O62" s="64">
        <f>SUMIF(PrefetchDBDetails!$A:$A,$A62,PrefetchDBDetails!O:O)</f>
        <v>0</v>
      </c>
      <c r="Y62" s="29"/>
      <c r="AC62" s="1"/>
      <c r="AD62">
        <v>60</v>
      </c>
      <c r="AE62"/>
    </row>
    <row r="63" spans="1:31" ht="12.75">
      <c r="A63" s="1" t="s">
        <v>556</v>
      </c>
      <c r="B63" s="18" t="s">
        <v>67</v>
      </c>
      <c r="C63" s="77"/>
      <c r="D63" s="7"/>
      <c r="E63" s="19">
        <v>30</v>
      </c>
      <c r="F63" s="7" t="s">
        <v>701</v>
      </c>
      <c r="G63" s="10">
        <f t="shared" si="3"/>
        <v>0</v>
      </c>
      <c r="H63" s="10">
        <f t="shared" si="4"/>
        <v>0</v>
      </c>
      <c r="I63" s="64">
        <f>SUMIF(PrefetchDBDetails!$A:$A,$A63,PrefetchDBDetails!J:J)*(1+$AC$5)+IF(C63&gt;0,$AC$6/AD63+$AC$7/60,0)</f>
        <v>0</v>
      </c>
      <c r="J63" s="64">
        <f t="shared" si="5"/>
        <v>0</v>
      </c>
      <c r="K63" s="64">
        <f>SUMIF(PrefetchDBDetails!$A:$A,$A63,PrefetchDBDetails!K:K)</f>
        <v>0</v>
      </c>
      <c r="L63" s="65">
        <f>SUMIF(PrefetchDBDetails!$A:$A,$A63,PrefetchDBDetails!L:L)</f>
        <v>0</v>
      </c>
      <c r="M63" s="64">
        <f>SUMIF(PrefetchDBDetails!$A:$A,$A63,PrefetchDBDetails!M:M)</f>
        <v>0</v>
      </c>
      <c r="N63" s="65">
        <f>SUMIF(PrefetchDBDetails!$A:$A,$A63,PrefetchDBDetails!N:N)</f>
        <v>0</v>
      </c>
      <c r="O63" s="64">
        <f>SUMIF(PrefetchDBDetails!$A:$A,$A63,PrefetchDBDetails!O:O)</f>
        <v>0</v>
      </c>
      <c r="Y63" s="29"/>
      <c r="AC63" s="1"/>
      <c r="AD63">
        <v>60</v>
      </c>
      <c r="AE63"/>
    </row>
    <row r="64" spans="1:31" ht="12.75">
      <c r="A64" s="70">
        <v>44</v>
      </c>
      <c r="B64" s="7" t="s">
        <v>1332</v>
      </c>
      <c r="C64" s="77"/>
      <c r="D64" s="7"/>
      <c r="E64" s="7"/>
      <c r="F64" s="7"/>
      <c r="G64" s="63">
        <f t="shared" si="3"/>
        <v>0</v>
      </c>
      <c r="H64" s="63">
        <f t="shared" si="4"/>
        <v>0</v>
      </c>
      <c r="I64" s="64">
        <f>SUMIF(PrefetchDBDetails!$A:$A,$A64,PrefetchDBDetails!J:J)*(1+$AC$5)+IF(C64&gt;0,$AC$6/AD64+$AC$7/60,0)</f>
        <v>0</v>
      </c>
      <c r="J64" s="64">
        <f t="shared" si="5"/>
        <v>0</v>
      </c>
      <c r="K64" s="64">
        <f>SUMIF(PrefetchDBDetails!$A:$A,$A64,PrefetchDBDetails!K:K)</f>
        <v>0</v>
      </c>
      <c r="L64" s="65">
        <f>SUMIF(PrefetchDBDetails!$A:$A,$A64,PrefetchDBDetails!L:L)</f>
        <v>0</v>
      </c>
      <c r="M64" s="64">
        <f>SUMIF(PrefetchDBDetails!$A:$A,$A64,PrefetchDBDetails!M:M)</f>
        <v>0</v>
      </c>
      <c r="N64" s="65">
        <f>SUMIF(PrefetchDBDetails!$A:$A,$A64,PrefetchDBDetails!N:N)</f>
        <v>0</v>
      </c>
      <c r="O64" s="64">
        <f>SUMIF(PrefetchDBDetails!$A:$A,$A64,PrefetchDBDetails!O:O)</f>
        <v>0</v>
      </c>
      <c r="AA64"/>
      <c r="AC64" s="1"/>
      <c r="AD64">
        <v>60</v>
      </c>
      <c r="AE64"/>
    </row>
    <row r="65" spans="1:31" ht="12.75">
      <c r="A65" s="1" t="s">
        <v>567</v>
      </c>
      <c r="B65" s="7" t="s">
        <v>2038</v>
      </c>
      <c r="C65" s="77">
        <v>10</v>
      </c>
      <c r="D65" s="19"/>
      <c r="E65" s="19">
        <v>15</v>
      </c>
      <c r="F65" s="7" t="s">
        <v>861</v>
      </c>
      <c r="G65" s="10">
        <f t="shared" si="3"/>
        <v>0.07855754583180123</v>
      </c>
      <c r="H65" s="10">
        <f t="shared" si="4"/>
        <v>0.05096042320377684</v>
      </c>
      <c r="I65" s="64">
        <f>SUMIF(PrefetchDBDetails!$A:$A,$A65,PrefetchDBDetails!J:J)*(1+$AC$5)+IF(C65&gt;0,$AC$6/AD65+$AC$7/60,0)</f>
        <v>789.9208208333332</v>
      </c>
      <c r="J65" s="64">
        <f t="shared" si="5"/>
        <v>7899.208208333332</v>
      </c>
      <c r="K65" s="64">
        <f>SUMIF(PrefetchDBDetails!$A:$A,$A65,PrefetchDBDetails!K:K)</f>
        <v>74.775</v>
      </c>
      <c r="L65" s="65">
        <f>SUMIF(PrefetchDBDetails!$A:$A,$A65,PrefetchDBDetails!L:L)</f>
        <v>747.75</v>
      </c>
      <c r="M65" s="64">
        <f>SUMIF(PrefetchDBDetails!$A:$A,$A65,PrefetchDBDetails!M:M)</f>
        <v>249.98098632812497</v>
      </c>
      <c r="N65" s="65">
        <f>SUMIF(PrefetchDBDetails!$A:$A,$A65,PrefetchDBDetails!N:N)</f>
        <v>8614080</v>
      </c>
      <c r="O65" s="64">
        <f>SUMIF(PrefetchDBDetails!$A:$A,$A65,PrefetchDBDetails!O:O)</f>
        <v>704.5709106445312</v>
      </c>
      <c r="Y65" s="29"/>
      <c r="AC65" s="1"/>
      <c r="AD65">
        <v>60</v>
      </c>
      <c r="AE65"/>
    </row>
    <row r="66" spans="1:31" ht="12.75">
      <c r="A66" s="1" t="s">
        <v>569</v>
      </c>
      <c r="B66" s="7" t="s">
        <v>2039</v>
      </c>
      <c r="C66" s="77"/>
      <c r="D66" s="7"/>
      <c r="E66" s="19">
        <v>200</v>
      </c>
      <c r="F66" s="7" t="s">
        <v>588</v>
      </c>
      <c r="G66" s="10">
        <f t="shared" si="3"/>
        <v>0</v>
      </c>
      <c r="H66" s="10">
        <f t="shared" si="4"/>
        <v>0</v>
      </c>
      <c r="I66" s="64">
        <f>SUMIF(PrefetchDBDetails!$A:$A,$A66,PrefetchDBDetails!J:J)*(1+$AC$5)+IF(C66&gt;0,$AC$6/AD66+$AC$7/60,0)</f>
        <v>0</v>
      </c>
      <c r="J66" s="64">
        <f t="shared" si="5"/>
        <v>0</v>
      </c>
      <c r="K66" s="64">
        <f>SUMIF(PrefetchDBDetails!$A:$A,$A66,PrefetchDBDetails!K:K)</f>
        <v>0</v>
      </c>
      <c r="L66" s="65">
        <f>SUMIF(PrefetchDBDetails!$A:$A,$A66,PrefetchDBDetails!L:L)</f>
        <v>0</v>
      </c>
      <c r="M66" s="64">
        <f>SUMIF(PrefetchDBDetails!$A:$A,$A66,PrefetchDBDetails!M:M)</f>
        <v>0</v>
      </c>
      <c r="N66" s="65">
        <f>SUMIF(PrefetchDBDetails!$A:$A,$A66,PrefetchDBDetails!N:N)</f>
        <v>0</v>
      </c>
      <c r="O66" s="64">
        <f>SUMIF(PrefetchDBDetails!$A:$A,$A66,PrefetchDBDetails!O:O)</f>
        <v>0</v>
      </c>
      <c r="Y66" s="29"/>
      <c r="AC66" s="1"/>
      <c r="AD66">
        <v>60</v>
      </c>
      <c r="AE66"/>
    </row>
    <row r="67" spans="1:31" ht="12.75">
      <c r="A67" s="7" t="s">
        <v>1242</v>
      </c>
      <c r="B67" s="7" t="s">
        <v>2033</v>
      </c>
      <c r="C67" s="77"/>
      <c r="D67" s="7"/>
      <c r="E67" s="19">
        <v>40</v>
      </c>
      <c r="F67" s="7" t="s">
        <v>1966</v>
      </c>
      <c r="G67" s="10">
        <f t="shared" si="3"/>
        <v>0</v>
      </c>
      <c r="H67" s="10">
        <f t="shared" si="4"/>
        <v>0</v>
      </c>
      <c r="I67" s="64">
        <f>SUMIF(PrefetchDBDetails!$A:$A,$A67,PrefetchDBDetails!J:J)*(1+$AC$5)+IF(C67&gt;0,$AC$6/AD67+$AC$7/60,0)</f>
        <v>0</v>
      </c>
      <c r="J67" s="64">
        <f t="shared" si="5"/>
        <v>0</v>
      </c>
      <c r="K67" s="64">
        <f>SUMIF(PrefetchDBDetails!$A:$A,$A67,PrefetchDBDetails!K:K)</f>
        <v>0</v>
      </c>
      <c r="L67" s="65">
        <f>SUMIF(PrefetchDBDetails!$A:$A,$A67,PrefetchDBDetails!L:L)</f>
        <v>0</v>
      </c>
      <c r="M67" s="64">
        <f>SUMIF(PrefetchDBDetails!$A:$A,$A67,PrefetchDBDetails!M:M)</f>
        <v>0</v>
      </c>
      <c r="N67" s="65">
        <f>SUMIF(PrefetchDBDetails!$A:$A,$A67,PrefetchDBDetails!N:N)</f>
        <v>0</v>
      </c>
      <c r="O67" s="64">
        <f>SUMIF(PrefetchDBDetails!$A:$A,$A67,PrefetchDBDetails!O:O)</f>
        <v>0</v>
      </c>
      <c r="Y67" s="29"/>
      <c r="AC67" s="1"/>
      <c r="AD67">
        <v>60</v>
      </c>
      <c r="AE67"/>
    </row>
    <row r="68" spans="2:31" ht="12.75">
      <c r="B68" s="7"/>
      <c r="C68" s="7"/>
      <c r="D68" s="7"/>
      <c r="E68" s="19">
        <v>40</v>
      </c>
      <c r="F68" s="7" t="s">
        <v>1965</v>
      </c>
      <c r="G68" s="7"/>
      <c r="H68" s="7"/>
      <c r="I68" s="7"/>
      <c r="J68" s="7"/>
      <c r="K68" s="7"/>
      <c r="L68" s="7"/>
      <c r="M68" s="7"/>
      <c r="N68" s="7"/>
      <c r="O68" s="7"/>
      <c r="Y68" s="29"/>
      <c r="AC68" s="1"/>
      <c r="AE68"/>
    </row>
    <row r="69" spans="1:31" ht="12.75">
      <c r="A69" s="7" t="s">
        <v>570</v>
      </c>
      <c r="B69" s="7" t="s">
        <v>2040</v>
      </c>
      <c r="C69" s="76"/>
      <c r="D69" s="19"/>
      <c r="E69" s="19">
        <v>1</v>
      </c>
      <c r="F69" s="7" t="s">
        <v>1328</v>
      </c>
      <c r="G69" s="10">
        <f>IF($C$75&gt;0,L69/SUM(L:L),0)</f>
        <v>0</v>
      </c>
      <c r="H69" s="10">
        <f>IF($C$75&gt;0,O69/SUM(O:O),0)</f>
        <v>0</v>
      </c>
      <c r="I69" s="64">
        <f>SUMIF(PrefetchDBDetails!$A:$A,$A69,PrefetchDBDetails!J:J)*(1+$AC$5)+IF(C69&gt;0,$AC$6/AD69+$AC$7/60,0)</f>
        <v>0</v>
      </c>
      <c r="J69" s="64">
        <f>I69*(C69+D69)</f>
        <v>0</v>
      </c>
      <c r="K69" s="64">
        <f>SUMIF(PrefetchDBDetails!$A:$A,$A69,PrefetchDBDetails!K:K)</f>
        <v>0</v>
      </c>
      <c r="L69" s="65">
        <f>SUMIF(PrefetchDBDetails!$A:$A,$A69,PrefetchDBDetails!L:L)</f>
        <v>0</v>
      </c>
      <c r="M69" s="64">
        <f>SUMIF(PrefetchDBDetails!$A:$A,$A69,PrefetchDBDetails!M:M)</f>
        <v>0</v>
      </c>
      <c r="N69" s="65">
        <f>SUMIF(PrefetchDBDetails!$A:$A,$A69,PrefetchDBDetails!N:N)</f>
        <v>0</v>
      </c>
      <c r="O69" s="64">
        <f>SUMIF(PrefetchDBDetails!$A:$A,$A69,PrefetchDBDetails!O:O)</f>
        <v>0</v>
      </c>
      <c r="Y69" s="29"/>
      <c r="AC69" s="1"/>
      <c r="AD69">
        <v>5</v>
      </c>
      <c r="AE69"/>
    </row>
    <row r="70" spans="2:31" ht="12.75">
      <c r="B70" s="7"/>
      <c r="C70" s="7"/>
      <c r="D70" s="7"/>
      <c r="E70" s="19">
        <v>33</v>
      </c>
      <c r="F70" s="12" t="s">
        <v>1330</v>
      </c>
      <c r="G70" s="7"/>
      <c r="H70" s="7"/>
      <c r="I70" s="7"/>
      <c r="J70" s="7"/>
      <c r="K70" s="7"/>
      <c r="L70" s="7"/>
      <c r="M70" s="7"/>
      <c r="N70" s="7"/>
      <c r="O70" s="7"/>
      <c r="Y70" s="29"/>
      <c r="AC70" s="1"/>
      <c r="AE70"/>
    </row>
    <row r="71" spans="2:31" ht="12.75">
      <c r="B71" s="7"/>
      <c r="C71" s="7"/>
      <c r="D71" s="7"/>
      <c r="E71" s="19">
        <v>44</v>
      </c>
      <c r="F71" s="12" t="s">
        <v>1329</v>
      </c>
      <c r="G71" s="7"/>
      <c r="H71" s="7"/>
      <c r="I71" s="7"/>
      <c r="J71" s="7"/>
      <c r="K71" s="7"/>
      <c r="L71" s="7"/>
      <c r="M71" s="7"/>
      <c r="N71" s="7"/>
      <c r="O71" s="7"/>
      <c r="Y71" s="29"/>
      <c r="AC71" s="1"/>
      <c r="AE71"/>
    </row>
    <row r="72" spans="1:31" ht="12.75">
      <c r="A72" s="7" t="s">
        <v>615</v>
      </c>
      <c r="B72" s="7" t="s">
        <v>644</v>
      </c>
      <c r="C72" s="19"/>
      <c r="D72" s="7"/>
      <c r="E72" s="7"/>
      <c r="F72" s="7"/>
      <c r="G72" s="10">
        <f>IF($C$75&gt;0,L72/SUM(L:L),0)</f>
        <v>0</v>
      </c>
      <c r="H72" s="10">
        <f>IF($C$75&gt;0,O72/SUM(O:O),0)</f>
        <v>0</v>
      </c>
      <c r="I72" s="10">
        <f>SUMIF(PrefetchDBDetails!$A:$A,$A72,PrefetchDBDetails!J:J)*(1+$AC$5)+IF(C72&gt;0,$AC$6/AD72+$AC$7/60,0)</f>
        <v>0</v>
      </c>
      <c r="J72" s="10">
        <f>I72*(C72+D72)</f>
        <v>0</v>
      </c>
      <c r="K72" s="10">
        <f>SUMIF(PrefetchDBDetails!$A:$A,$A72,PrefetchDBDetails!K:K)</f>
        <v>0</v>
      </c>
      <c r="L72" s="10">
        <f>SUMIF(PrefetchDBDetails!$A:$A,$A72,PrefetchDBDetails!L:L)</f>
        <v>0</v>
      </c>
      <c r="M72" s="10">
        <f>SUMIF(PrefetchDBDetails!$A:$A,$A72,PrefetchDBDetails!M:M)</f>
        <v>0</v>
      </c>
      <c r="N72" s="25">
        <v>0</v>
      </c>
      <c r="O72" s="41">
        <v>0</v>
      </c>
      <c r="Y72" s="29"/>
      <c r="AC72" s="1"/>
      <c r="AD72">
        <v>60</v>
      </c>
      <c r="AE72"/>
    </row>
    <row r="73" spans="1:31" ht="25.5">
      <c r="A73" s="18" t="s">
        <v>434</v>
      </c>
      <c r="B73" s="7" t="s">
        <v>2030</v>
      </c>
      <c r="C73" s="77"/>
      <c r="D73" s="19"/>
      <c r="E73" s="19">
        <v>200</v>
      </c>
      <c r="F73" s="12" t="s">
        <v>1323</v>
      </c>
      <c r="G73" s="10">
        <f>IF($C$75&gt;0,L73/SUM(L:L),0)</f>
        <v>0</v>
      </c>
      <c r="H73" s="10">
        <f>IF($C$75&gt;0,O73/SUM(O:O),0)</f>
        <v>0</v>
      </c>
      <c r="I73" s="64">
        <f>SUMIF(PrefetchDBDetails!$A:$A,$A73,PrefetchDBDetails!J:J)*(1+$AC$5)+IF(C73&gt;0,$AC$6/AD73+$AC$7/60,0)</f>
        <v>0</v>
      </c>
      <c r="J73" s="64">
        <f>I73*(C73+D73)</f>
        <v>0</v>
      </c>
      <c r="K73" s="64">
        <f>SUMIF(PrefetchDBDetails!$A:$A,$A73,PrefetchDBDetails!K:K)</f>
        <v>0</v>
      </c>
      <c r="L73" s="65">
        <f>SUMIF(PrefetchDBDetails!$A:$A,$A73,PrefetchDBDetails!L:L)</f>
        <v>0</v>
      </c>
      <c r="M73" s="64">
        <f>SUMIF(PrefetchDBDetails!$A:$A,$A73,PrefetchDBDetails!M:M)</f>
        <v>0</v>
      </c>
      <c r="N73" s="65">
        <f>SUMIF(PrefetchDBDetails!$A:$A,$A73,PrefetchDBDetails!N:N)</f>
        <v>0</v>
      </c>
      <c r="O73" s="64">
        <f>SUMIF(PrefetchDBDetails!$A:$A,$A73,PrefetchDBDetails!O:O)</f>
        <v>0</v>
      </c>
      <c r="Y73" s="29"/>
      <c r="AC73" s="1"/>
      <c r="AD73">
        <v>60</v>
      </c>
      <c r="AE73"/>
    </row>
    <row r="74" spans="1:31" ht="12.75">
      <c r="A74" s="1" t="s">
        <v>554</v>
      </c>
      <c r="B74" s="18" t="s">
        <v>2041</v>
      </c>
      <c r="C74" s="62">
        <v>10</v>
      </c>
      <c r="D74" s="19"/>
      <c r="G74" s="10">
        <f>IF($C$75&gt;0,L74/SUM(L:L),0)</f>
        <v>0.06177443924988181</v>
      </c>
      <c r="H74" s="10">
        <f>IF($C$75&gt;0,O74/SUM(O:O),0)</f>
        <v>0.030468157010480956</v>
      </c>
      <c r="I74" s="64">
        <f>SUMIF(PrefetchDBDetails!$A:$A,$A74,PrefetchDBDetails!J:J)*(1+$AC$5)+IF(C74&gt;0,$AC$6/AD74+$AC$7/60,0)</f>
        <v>558.2828331480181</v>
      </c>
      <c r="J74" s="64">
        <f>I74*(C74+D74)</f>
        <v>5582.828331480181</v>
      </c>
      <c r="K74" s="64">
        <f>SUMIF(PrefetchDBDetails!$A:$A,$A74,PrefetchDBDetails!K:K)</f>
        <v>58.8</v>
      </c>
      <c r="L74" s="65">
        <f>SUMIF(PrefetchDBDetails!$A:$A,$A74,PrefetchDBDetails!L:L)</f>
        <v>588</v>
      </c>
      <c r="M74" s="64">
        <f>SUMIF(PrefetchDBDetails!$A:$A,$A74,PrefetchDBDetails!M:M)</f>
        <v>136.6953882224551</v>
      </c>
      <c r="N74" s="65">
        <f>SUMIF(PrefetchDBDetails!$A:$A,$A74,PrefetchDBDetails!N:N)</f>
        <v>6773760</v>
      </c>
      <c r="O74" s="64">
        <f>SUMIF(PrefetchDBDetails!$A:$A,$A74,PrefetchDBDetails!O:O)</f>
        <v>421.2480152430158</v>
      </c>
      <c r="Y74" s="29"/>
      <c r="AC74" s="1"/>
      <c r="AD74">
        <v>60</v>
      </c>
      <c r="AE74"/>
    </row>
    <row r="75" spans="1:14" ht="12.75">
      <c r="A75" s="7"/>
      <c r="C75" s="43">
        <f>SUM(C12:D74)</f>
        <v>32</v>
      </c>
      <c r="D75" s="30" t="s">
        <v>590</v>
      </c>
      <c r="F75" s="23"/>
      <c r="G75"/>
      <c r="H75"/>
      <c r="I75"/>
      <c r="K75" s="24"/>
      <c r="L75" s="24"/>
      <c r="M75" s="24"/>
      <c r="N75" s="24"/>
    </row>
    <row r="76" spans="1:14" ht="12.75">
      <c r="A76" s="7"/>
      <c r="C76" s="23"/>
      <c r="D76" s="30"/>
      <c r="F76" s="23"/>
      <c r="G76"/>
      <c r="H76"/>
      <c r="I76"/>
      <c r="K76" s="24"/>
      <c r="L76" s="24"/>
      <c r="M76" s="24"/>
      <c r="N76" s="24"/>
    </row>
    <row r="77" spans="1:31" s="8" customFormat="1" ht="51">
      <c r="A77" s="66" t="s">
        <v>573</v>
      </c>
      <c r="B77" s="67" t="s">
        <v>1872</v>
      </c>
      <c r="C77" s="67" t="s">
        <v>1871</v>
      </c>
      <c r="D77" s="67"/>
      <c r="E77" s="67" t="s">
        <v>589</v>
      </c>
      <c r="F77" s="67" t="s">
        <v>1331</v>
      </c>
      <c r="G77" s="67" t="s">
        <v>584</v>
      </c>
      <c r="H77" s="67" t="s">
        <v>585</v>
      </c>
      <c r="I77" s="67" t="s">
        <v>591</v>
      </c>
      <c r="J77" s="67" t="s">
        <v>592</v>
      </c>
      <c r="K77" s="67" t="s">
        <v>605</v>
      </c>
      <c r="L77" s="67" t="s">
        <v>606</v>
      </c>
      <c r="M77" s="67" t="s">
        <v>609</v>
      </c>
      <c r="N77" s="67" t="s">
        <v>593</v>
      </c>
      <c r="O77" s="67" t="s">
        <v>612</v>
      </c>
      <c r="R77" s="1"/>
      <c r="S77" s="1"/>
      <c r="T77" s="1"/>
      <c r="U77" s="1"/>
      <c r="V77" s="1"/>
      <c r="W77" s="1"/>
      <c r="AA77"/>
      <c r="AD77" t="s">
        <v>705</v>
      </c>
      <c r="AE77"/>
    </row>
    <row r="78" spans="1:31" ht="12.75">
      <c r="A78" s="7" t="s">
        <v>1659</v>
      </c>
      <c r="B78" s="7" t="s">
        <v>2024</v>
      </c>
      <c r="C78" s="7"/>
      <c r="D78" s="7"/>
      <c r="E78" s="7"/>
      <c r="F78" s="7"/>
      <c r="G78" s="63">
        <f>IF($C$75&gt;0,L78/SUM(L:L),0)</f>
        <v>0</v>
      </c>
      <c r="H78" s="63">
        <f>IF($C$75&gt;0,O78/SUM(O:O),0)</f>
        <v>0</v>
      </c>
      <c r="I78" s="64">
        <f>SUMIF(PrefetchDBDetails!$A:$A,$A78,PrefetchDBDetails!J:J)*(1+$AC$5)+IF(C78&gt;0,$AC$6/AD78+$AC$7/60,0)</f>
        <v>0</v>
      </c>
      <c r="J78" s="64">
        <f>I78*(C78+D78)</f>
        <v>0</v>
      </c>
      <c r="K78" s="64">
        <f>SUMIF(PrefetchDBDetails!$A:$A,$A78,PrefetchDBDetails!K:K)</f>
        <v>0</v>
      </c>
      <c r="L78" s="65">
        <f>SUMIF(PrefetchDBDetails!$A:$A,$A78,PrefetchDBDetails!L:L)</f>
        <v>0</v>
      </c>
      <c r="M78" s="64">
        <f>SUMIF(PrefetchDBDetails!$A:$A,$A78,PrefetchDBDetails!M:M)</f>
        <v>0</v>
      </c>
      <c r="N78" s="65">
        <f>SUMIF(PrefetchDBDetails!$A:$A,$A78,PrefetchDBDetails!N:N)</f>
        <v>0</v>
      </c>
      <c r="O78" s="64">
        <f>SUMIF(PrefetchDBDetails!$A:$A,$A78,PrefetchDBDetails!O:O)</f>
        <v>0</v>
      </c>
      <c r="AA78"/>
      <c r="AC78" s="1"/>
      <c r="AD78">
        <v>60</v>
      </c>
      <c r="AE78"/>
    </row>
    <row r="79" spans="1:31" ht="12.75">
      <c r="A79" s="7"/>
      <c r="B79" s="13" t="s">
        <v>1870</v>
      </c>
      <c r="C79" s="76"/>
      <c r="D79" s="7"/>
      <c r="E79" s="7"/>
      <c r="F79" s="7"/>
      <c r="G79" s="7"/>
      <c r="H79" s="7"/>
      <c r="I79" s="7"/>
      <c r="J79" s="7"/>
      <c r="K79" s="7"/>
      <c r="L79" s="7"/>
      <c r="M79" s="7"/>
      <c r="N79" s="7"/>
      <c r="O79" s="7"/>
      <c r="AA79"/>
      <c r="AC79" s="1"/>
      <c r="AE79"/>
    </row>
    <row r="80" spans="1:31" ht="12.75">
      <c r="A80" s="7"/>
      <c r="B80" s="13" t="s">
        <v>1868</v>
      </c>
      <c r="C80" s="77"/>
      <c r="D80" s="7"/>
      <c r="E80" s="7"/>
      <c r="F80" s="7"/>
      <c r="G80" s="7"/>
      <c r="H80" s="7"/>
      <c r="I80" s="7"/>
      <c r="J80" s="7"/>
      <c r="K80" s="7"/>
      <c r="L80" s="7"/>
      <c r="M80" s="7"/>
      <c r="N80" s="7"/>
      <c r="O80" s="7"/>
      <c r="AA80"/>
      <c r="AC80" s="1"/>
      <c r="AE80"/>
    </row>
    <row r="81" spans="1:31" ht="12.75">
      <c r="A81" s="7"/>
      <c r="B81" s="13" t="s">
        <v>1867</v>
      </c>
      <c r="C81" s="77"/>
      <c r="D81" s="7"/>
      <c r="E81" s="7"/>
      <c r="F81" s="7"/>
      <c r="G81" s="7"/>
      <c r="H81" s="7"/>
      <c r="I81" s="7"/>
      <c r="J81" s="7"/>
      <c r="K81" s="7"/>
      <c r="L81" s="7"/>
      <c r="M81" s="7"/>
      <c r="N81" s="7"/>
      <c r="O81" s="7"/>
      <c r="AA81"/>
      <c r="AC81" s="1"/>
      <c r="AE81"/>
    </row>
    <row r="82" spans="1:31" ht="12.75">
      <c r="A82" s="7"/>
      <c r="B82" s="13" t="s">
        <v>1869</v>
      </c>
      <c r="C82" s="77"/>
      <c r="D82" s="7"/>
      <c r="E82" s="7"/>
      <c r="F82" s="7"/>
      <c r="G82" s="7"/>
      <c r="H82" s="7"/>
      <c r="I82" s="7"/>
      <c r="J82" s="7"/>
      <c r="K82" s="7"/>
      <c r="L82" s="7"/>
      <c r="M82" s="7"/>
      <c r="N82" s="7"/>
      <c r="O82" s="7"/>
      <c r="AA82"/>
      <c r="AC82" s="1"/>
      <c r="AE82"/>
    </row>
    <row r="83" spans="1:31" ht="12.75">
      <c r="A83" s="7"/>
      <c r="B83" s="13" t="s">
        <v>432</v>
      </c>
      <c r="C83" s="77"/>
      <c r="D83" s="7"/>
      <c r="E83" s="7"/>
      <c r="F83" s="7"/>
      <c r="G83" s="7"/>
      <c r="H83" s="7"/>
      <c r="I83" s="7"/>
      <c r="J83" s="7"/>
      <c r="K83" s="7"/>
      <c r="L83" s="7"/>
      <c r="M83" s="7"/>
      <c r="N83" s="7"/>
      <c r="O83" s="7"/>
      <c r="AA83"/>
      <c r="AC83" s="1"/>
      <c r="AE83"/>
    </row>
    <row r="84" spans="3:30" s="8" customFormat="1" ht="12.75">
      <c r="C84" s="43">
        <f>SUM(C79:C83)</f>
        <v>0</v>
      </c>
      <c r="D84" s="30" t="s">
        <v>1873</v>
      </c>
      <c r="F84" s="12"/>
      <c r="G84" s="12"/>
      <c r="H84" s="12"/>
      <c r="AC84"/>
      <c r="AD84"/>
    </row>
    <row r="95" spans="1:8" ht="12.75">
      <c r="A95" s="33"/>
      <c r="B95" s="33"/>
      <c r="H95" s="3"/>
    </row>
    <row r="96" spans="6:8" ht="12.75">
      <c r="F96" s="37"/>
      <c r="G96" s="37"/>
      <c r="H96" s="3"/>
    </row>
    <row r="97" ht="12.75">
      <c r="H97" s="3"/>
    </row>
    <row r="98" ht="12.75">
      <c r="H98" s="3"/>
    </row>
    <row r="99" ht="12.75">
      <c r="H99" s="12"/>
    </row>
    <row r="100" spans="1:8" ht="12.75">
      <c r="A100" s="12"/>
      <c r="B100" s="33"/>
      <c r="C100" s="12"/>
      <c r="F100" s="12"/>
      <c r="G100" s="12"/>
      <c r="H100" s="12"/>
    </row>
    <row r="103" spans="4:25" ht="12.75">
      <c r="D103" s="14"/>
      <c r="E103" s="14"/>
      <c r="X103" s="14"/>
      <c r="Y103" s="14"/>
    </row>
    <row r="104" spans="3:25" ht="12.75" customHeight="1">
      <c r="C104" s="21"/>
      <c r="D104" s="14"/>
      <c r="E104" s="14"/>
      <c r="F104" s="21"/>
      <c r="X104" s="14"/>
      <c r="Y104" s="14"/>
    </row>
    <row r="105" spans="1:25" ht="12.75" customHeight="1">
      <c r="A105" s="22"/>
      <c r="B105" s="22"/>
      <c r="C105" s="21"/>
      <c r="D105" s="14"/>
      <c r="E105" s="14"/>
      <c r="F105" s="21"/>
      <c r="X105" s="14"/>
      <c r="Y105" s="14"/>
    </row>
    <row r="106" spans="5:25" ht="12.75">
      <c r="E106" s="14"/>
      <c r="X106" s="14"/>
      <c r="Y106" s="14"/>
    </row>
  </sheetData>
  <sheetProtection/>
  <printOptions/>
  <pageMargins left="0.75" right="0.75" top="1" bottom="1" header="0.5" footer="0.5"/>
  <pageSetup fitToHeight="4"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T795"/>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7.28125" style="0" bestFit="1" customWidth="1"/>
    <col min="2" max="2" width="30.421875" style="0" bestFit="1" customWidth="1"/>
    <col min="3" max="3" width="57.28125" style="0" bestFit="1" customWidth="1"/>
    <col min="4" max="4" width="8.8515625" style="0" bestFit="1" customWidth="1"/>
    <col min="5" max="5" width="63.7109375" style="0" bestFit="1" customWidth="1"/>
    <col min="6" max="6" width="11.57421875" style="0" customWidth="1"/>
    <col min="7" max="7" width="8.28125" style="0" bestFit="1" customWidth="1"/>
    <col min="8" max="8" width="7.57421875" style="0" customWidth="1"/>
    <col min="9" max="9" width="7.8515625" style="0" customWidth="1"/>
    <col min="10" max="10" width="9.140625" style="15" customWidth="1"/>
    <col min="11" max="11" width="10.421875" style="0" customWidth="1"/>
    <col min="12" max="12" width="10.28125" style="16" customWidth="1"/>
    <col min="13" max="13" width="10.28125" style="15" customWidth="1"/>
    <col min="14" max="14" width="12.00390625" style="69" customWidth="1"/>
    <col min="15" max="15" width="10.140625" style="15" customWidth="1"/>
    <col min="16" max="32" width="9.140625" style="0" customWidth="1"/>
    <col min="33" max="33" width="14.8515625" style="0" customWidth="1"/>
    <col min="34" max="34" width="7.28125" style="0" customWidth="1"/>
    <col min="35" max="35" width="6.7109375" style="0" customWidth="1"/>
    <col min="36" max="38" width="9.00390625" style="0" customWidth="1"/>
    <col min="39" max="39" width="7.7109375" style="0" customWidth="1"/>
    <col min="40" max="40" width="9.28125" style="0" customWidth="1"/>
    <col min="41" max="42" width="7.7109375" style="0" customWidth="1"/>
    <col min="43" max="43" width="8.8515625" style="27" customWidth="1"/>
    <col min="44" max="49" width="9.140625" style="0" customWidth="1"/>
  </cols>
  <sheetData>
    <row r="1" spans="1:46" s="9" customFormat="1" ht="54.75" customHeight="1">
      <c r="A1" s="52" t="s">
        <v>573</v>
      </c>
      <c r="B1" s="52" t="s">
        <v>83</v>
      </c>
      <c r="C1" s="52" t="s">
        <v>574</v>
      </c>
      <c r="D1" s="53" t="s">
        <v>699</v>
      </c>
      <c r="E1" s="52" t="s">
        <v>709</v>
      </c>
      <c r="F1" s="53" t="s">
        <v>2004</v>
      </c>
      <c r="G1" s="53" t="s">
        <v>2005</v>
      </c>
      <c r="H1" s="53" t="s">
        <v>1311</v>
      </c>
      <c r="I1" s="53" t="s">
        <v>1312</v>
      </c>
      <c r="J1" s="54" t="s">
        <v>591</v>
      </c>
      <c r="K1" s="53" t="s">
        <v>605</v>
      </c>
      <c r="L1" s="55" t="s">
        <v>606</v>
      </c>
      <c r="M1" s="54" t="s">
        <v>609</v>
      </c>
      <c r="N1" s="68" t="s">
        <v>1654</v>
      </c>
      <c r="O1" s="54" t="s">
        <v>1655</v>
      </c>
      <c r="AG1" s="9" t="s">
        <v>575</v>
      </c>
      <c r="AH1" s="9" t="s">
        <v>1769</v>
      </c>
      <c r="AI1" s="9" t="s">
        <v>576</v>
      </c>
      <c r="AJ1" s="12" t="s">
        <v>1770</v>
      </c>
      <c r="AK1" s="9" t="s">
        <v>435</v>
      </c>
      <c r="AL1" s="9" t="s">
        <v>2171</v>
      </c>
      <c r="AM1" s="9" t="s">
        <v>1767</v>
      </c>
      <c r="AN1" s="9" t="s">
        <v>1768</v>
      </c>
      <c r="AO1" s="9" t="s">
        <v>577</v>
      </c>
      <c r="AP1" s="9" t="s">
        <v>607</v>
      </c>
      <c r="AQ1" s="28" t="s">
        <v>579</v>
      </c>
      <c r="AS1" s="6" t="s">
        <v>594</v>
      </c>
      <c r="AT1" s="1"/>
    </row>
    <row r="2" spans="1:46" ht="12.75">
      <c r="A2" s="18" t="s">
        <v>429</v>
      </c>
      <c r="B2" s="18" t="s">
        <v>2025</v>
      </c>
      <c r="C2" t="s">
        <v>1493</v>
      </c>
      <c r="D2" s="19">
        <v>1</v>
      </c>
      <c r="E2" s="7" t="str">
        <f aca="true" t="shared" si="0" ref="E2:E8">IF(AH2="S","Always one row per interval","")</f>
        <v>Always one row per interval</v>
      </c>
      <c r="F2" s="19"/>
      <c r="G2" s="4">
        <f>IF(F2&gt;0,F2,IF(PrefetchDBSummary!$C$10="B",AJ2,8))</f>
        <v>8</v>
      </c>
      <c r="H2" s="4">
        <f>PrefetchDBSummary!$C$29</f>
        <v>0</v>
      </c>
      <c r="I2" s="4">
        <f>PrefetchDBSummary!$D$29</f>
        <v>0</v>
      </c>
      <c r="J2" s="5">
        <f aca="true" t="shared" si="1" ref="J2:J71">IF(H2&gt;0,(AQ2)/(AI2*60),IF(I2&gt;0,(AQ2)/(5*60),0))</f>
        <v>0</v>
      </c>
      <c r="K2" s="4">
        <f aca="true" t="shared" si="2" ref="K2:K71">IF(H2&gt;0,D2/AI2,IF(I2&gt;0,D2/5,0))</f>
        <v>0</v>
      </c>
      <c r="L2" s="4">
        <f aca="true" t="shared" si="3" ref="L2:L71">H2*D2/AI2+I2*D2/5</f>
        <v>0</v>
      </c>
      <c r="M2" s="5">
        <f aca="true" t="shared" si="4" ref="M2:M71">L2*AM2*(1-IF(AP2&gt;0,AP2,$AS$2)*$AS$3)/1024</f>
        <v>0</v>
      </c>
      <c r="N2" s="17">
        <f aca="true" t="shared" si="5" ref="N2:N55">L2*60*24*IF(G2&gt;0,G2,(G2))</f>
        <v>0</v>
      </c>
      <c r="O2" s="32">
        <f aca="true" t="shared" si="6" ref="O2:O55">N2*($AM2-$AO2*IF($AP2&gt;0,1-$AP2,1-$AS$2))*(1-$AS$3)/1024/1024</f>
        <v>0</v>
      </c>
      <c r="AG2" t="s">
        <v>1503</v>
      </c>
      <c r="AH2" t="s">
        <v>582</v>
      </c>
      <c r="AI2">
        <v>5</v>
      </c>
      <c r="AJ2">
        <v>32</v>
      </c>
      <c r="AK2">
        <v>9</v>
      </c>
      <c r="AL2">
        <v>7</v>
      </c>
      <c r="AM2">
        <v>117</v>
      </c>
      <c r="AN2">
        <v>390</v>
      </c>
      <c r="AO2">
        <v>64</v>
      </c>
      <c r="AQ2" s="27">
        <f>250+19*AK2+D2*(23+(AM2-AO2)+AO2*(1-IF(AP2&gt;0,AP2,$AS$2)))</f>
        <v>522.6</v>
      </c>
      <c r="AS2" s="71">
        <v>0.6</v>
      </c>
      <c r="AT2" s="13" t="s">
        <v>603</v>
      </c>
    </row>
    <row r="3" spans="1:46" ht="12.75">
      <c r="A3" s="18" t="s">
        <v>429</v>
      </c>
      <c r="B3" s="18" t="s">
        <v>2025</v>
      </c>
      <c r="C3" t="s">
        <v>1387</v>
      </c>
      <c r="D3" s="19">
        <v>1</v>
      </c>
      <c r="E3" s="7" t="str">
        <f t="shared" si="0"/>
        <v>Always one row per interval</v>
      </c>
      <c r="F3" s="19"/>
      <c r="G3" s="4">
        <f>IF(F3&gt;0,F3,IF(PrefetchDBSummary!$C$10="B",AJ3,8))</f>
        <v>8</v>
      </c>
      <c r="H3" s="4">
        <f>PrefetchDBSummary!$C$29</f>
        <v>0</v>
      </c>
      <c r="I3" s="4">
        <f>PrefetchDBSummary!$D$29</f>
        <v>0</v>
      </c>
      <c r="J3" s="5">
        <f t="shared" si="1"/>
        <v>0</v>
      </c>
      <c r="K3" s="4">
        <f t="shared" si="2"/>
        <v>0</v>
      </c>
      <c r="L3" s="4">
        <f t="shared" si="3"/>
        <v>0</v>
      </c>
      <c r="M3" s="5">
        <f t="shared" si="4"/>
        <v>0</v>
      </c>
      <c r="N3" s="17">
        <f t="shared" si="5"/>
        <v>0</v>
      </c>
      <c r="O3" s="32">
        <f t="shared" si="6"/>
        <v>0</v>
      </c>
      <c r="AG3" t="s">
        <v>1388</v>
      </c>
      <c r="AH3" t="s">
        <v>582</v>
      </c>
      <c r="AI3">
        <v>1</v>
      </c>
      <c r="AJ3">
        <v>32</v>
      </c>
      <c r="AK3">
        <v>9</v>
      </c>
      <c r="AL3">
        <v>7</v>
      </c>
      <c r="AM3">
        <v>117</v>
      </c>
      <c r="AN3">
        <v>390</v>
      </c>
      <c r="AO3">
        <v>64</v>
      </c>
      <c r="AQ3" s="27">
        <f aca="true" t="shared" si="7" ref="AQ3:AQ72">250+19*AK3+D3*(23+(AM3-AO3)+AO3*(1-IF(AP3&gt;0,AP3,$AS$2)))</f>
        <v>522.6</v>
      </c>
      <c r="AS3" s="71">
        <v>0.8</v>
      </c>
      <c r="AT3" s="13" t="s">
        <v>604</v>
      </c>
    </row>
    <row r="4" spans="1:43" ht="12.75">
      <c r="A4" s="18" t="s">
        <v>429</v>
      </c>
      <c r="B4" s="18" t="s">
        <v>2025</v>
      </c>
      <c r="C4" t="s">
        <v>1386</v>
      </c>
      <c r="D4" s="19">
        <v>1</v>
      </c>
      <c r="E4" s="7" t="str">
        <f t="shared" si="0"/>
        <v>Always one row per interval</v>
      </c>
      <c r="F4" s="19"/>
      <c r="G4" s="4">
        <f>IF(F4&gt;0,F4,IF(PrefetchDBSummary!$C$10="B",AJ4,8))</f>
        <v>8</v>
      </c>
      <c r="H4" s="4">
        <f>PrefetchDBSummary!$C$29</f>
        <v>0</v>
      </c>
      <c r="I4" s="4">
        <f>PrefetchDBSummary!$D$29</f>
        <v>0</v>
      </c>
      <c r="J4" s="5">
        <f t="shared" si="1"/>
        <v>0</v>
      </c>
      <c r="K4" s="4">
        <f t="shared" si="2"/>
        <v>0</v>
      </c>
      <c r="L4" s="4">
        <f t="shared" si="3"/>
        <v>0</v>
      </c>
      <c r="M4" s="5">
        <f t="shared" si="4"/>
        <v>0</v>
      </c>
      <c r="N4" s="17">
        <f t="shared" si="5"/>
        <v>0</v>
      </c>
      <c r="O4" s="32">
        <f t="shared" si="6"/>
        <v>0</v>
      </c>
      <c r="AG4" t="s">
        <v>1389</v>
      </c>
      <c r="AH4" t="s">
        <v>582</v>
      </c>
      <c r="AI4">
        <v>1</v>
      </c>
      <c r="AJ4">
        <v>32</v>
      </c>
      <c r="AK4">
        <v>5</v>
      </c>
      <c r="AL4">
        <v>3</v>
      </c>
      <c r="AM4">
        <v>97</v>
      </c>
      <c r="AN4">
        <v>214</v>
      </c>
      <c r="AO4">
        <v>64</v>
      </c>
      <c r="AQ4" s="27">
        <f t="shared" si="7"/>
        <v>426.6</v>
      </c>
    </row>
    <row r="5" spans="1:43" ht="12.75">
      <c r="A5" s="18" t="s">
        <v>429</v>
      </c>
      <c r="B5" s="18" t="s">
        <v>2025</v>
      </c>
      <c r="C5" t="s">
        <v>1473</v>
      </c>
      <c r="D5" s="19">
        <v>1</v>
      </c>
      <c r="E5" s="7" t="str">
        <f t="shared" si="0"/>
        <v>Always one row per interval</v>
      </c>
      <c r="F5" s="19"/>
      <c r="G5" s="4">
        <f>IF(F5&gt;0,F5,IF(PrefetchDBSummary!$C$10="B",AJ5,8))</f>
        <v>8</v>
      </c>
      <c r="H5" s="4">
        <f>PrefetchDBSummary!$C$29</f>
        <v>0</v>
      </c>
      <c r="I5" s="4">
        <f>PrefetchDBSummary!$D$29</f>
        <v>0</v>
      </c>
      <c r="J5" s="5">
        <f t="shared" si="1"/>
        <v>0</v>
      </c>
      <c r="K5" s="4">
        <f t="shared" si="2"/>
        <v>0</v>
      </c>
      <c r="L5" s="4">
        <f t="shared" si="3"/>
        <v>0</v>
      </c>
      <c r="M5" s="5">
        <f t="shared" si="4"/>
        <v>0</v>
      </c>
      <c r="N5" s="17">
        <f t="shared" si="5"/>
        <v>0</v>
      </c>
      <c r="O5" s="32">
        <f t="shared" si="6"/>
        <v>0</v>
      </c>
      <c r="AG5" t="s">
        <v>1477</v>
      </c>
      <c r="AH5" t="s">
        <v>582</v>
      </c>
      <c r="AI5">
        <v>1</v>
      </c>
      <c r="AJ5">
        <v>32</v>
      </c>
      <c r="AK5">
        <v>3</v>
      </c>
      <c r="AL5">
        <v>2</v>
      </c>
      <c r="AM5">
        <v>75</v>
      </c>
      <c r="AN5">
        <v>153</v>
      </c>
      <c r="AO5">
        <v>64</v>
      </c>
      <c r="AQ5" s="27">
        <f t="shared" si="7"/>
        <v>366.6</v>
      </c>
    </row>
    <row r="6" spans="1:43" ht="12.75">
      <c r="A6" s="18" t="s">
        <v>429</v>
      </c>
      <c r="B6" s="18" t="s">
        <v>2025</v>
      </c>
      <c r="C6" t="s">
        <v>1494</v>
      </c>
      <c r="D6" s="19">
        <v>1</v>
      </c>
      <c r="E6" s="7" t="str">
        <f t="shared" si="0"/>
        <v>Always one row per interval</v>
      </c>
      <c r="F6" s="19"/>
      <c r="G6" s="4">
        <f>IF(F6&gt;0,F6,IF(PrefetchDBSummary!$C$10="B",AJ6,8))</f>
        <v>8</v>
      </c>
      <c r="H6" s="4">
        <f>PrefetchDBSummary!$C$29</f>
        <v>0</v>
      </c>
      <c r="I6" s="4">
        <f>PrefetchDBSummary!$D$29</f>
        <v>0</v>
      </c>
      <c r="J6" s="5">
        <f t="shared" si="1"/>
        <v>0</v>
      </c>
      <c r="K6" s="4">
        <f t="shared" si="2"/>
        <v>0</v>
      </c>
      <c r="L6" s="4">
        <f t="shared" si="3"/>
        <v>0</v>
      </c>
      <c r="M6" s="5">
        <f t="shared" si="4"/>
        <v>0</v>
      </c>
      <c r="N6" s="17">
        <f t="shared" si="5"/>
        <v>0</v>
      </c>
      <c r="O6" s="32">
        <f t="shared" si="6"/>
        <v>0</v>
      </c>
      <c r="AG6" t="s">
        <v>1504</v>
      </c>
      <c r="AH6" t="s">
        <v>582</v>
      </c>
      <c r="AI6">
        <v>5</v>
      </c>
      <c r="AJ6">
        <v>32</v>
      </c>
      <c r="AK6">
        <v>43</v>
      </c>
      <c r="AL6">
        <v>42</v>
      </c>
      <c r="AM6">
        <v>275</v>
      </c>
      <c r="AN6">
        <v>1913</v>
      </c>
      <c r="AO6">
        <v>64</v>
      </c>
      <c r="AQ6" s="27">
        <f t="shared" si="7"/>
        <v>1326.6</v>
      </c>
    </row>
    <row r="7" spans="1:43" ht="12.75">
      <c r="A7" s="18" t="s">
        <v>429</v>
      </c>
      <c r="B7" s="18" t="s">
        <v>2025</v>
      </c>
      <c r="C7" t="s">
        <v>137</v>
      </c>
      <c r="D7" s="19">
        <v>1</v>
      </c>
      <c r="E7" s="7" t="str">
        <f t="shared" si="0"/>
        <v>Always one row per interval</v>
      </c>
      <c r="F7" s="19"/>
      <c r="G7" s="4">
        <f>IF(F7&gt;0,F7,IF(PrefetchDBSummary!$C$10="B",AJ7,8))</f>
        <v>8</v>
      </c>
      <c r="H7" s="4">
        <f>PrefetchDBSummary!$C$29</f>
        <v>0</v>
      </c>
      <c r="I7" s="4">
        <f>PrefetchDBSummary!$D$29</f>
        <v>0</v>
      </c>
      <c r="J7" s="5">
        <f t="shared" si="1"/>
        <v>0</v>
      </c>
      <c r="K7" s="4">
        <f t="shared" si="2"/>
        <v>0</v>
      </c>
      <c r="L7" s="4">
        <f t="shared" si="3"/>
        <v>0</v>
      </c>
      <c r="M7" s="5">
        <f t="shared" si="4"/>
        <v>0</v>
      </c>
      <c r="N7" s="17">
        <f t="shared" si="5"/>
        <v>0</v>
      </c>
      <c r="O7" s="32">
        <f t="shared" si="6"/>
        <v>0</v>
      </c>
      <c r="AG7" t="s">
        <v>406</v>
      </c>
      <c r="AH7" t="s">
        <v>582</v>
      </c>
      <c r="AI7">
        <v>8</v>
      </c>
      <c r="AJ7">
        <v>8</v>
      </c>
      <c r="AK7">
        <v>19</v>
      </c>
      <c r="AL7">
        <v>13</v>
      </c>
      <c r="AM7">
        <v>503</v>
      </c>
      <c r="AN7">
        <v>1022</v>
      </c>
      <c r="AO7">
        <v>384</v>
      </c>
      <c r="AQ7" s="27">
        <f t="shared" si="7"/>
        <v>906.6</v>
      </c>
    </row>
    <row r="8" spans="1:43" ht="12.75">
      <c r="A8" s="18" t="s">
        <v>429</v>
      </c>
      <c r="B8" s="18" t="s">
        <v>2025</v>
      </c>
      <c r="C8" t="s">
        <v>138</v>
      </c>
      <c r="D8" s="19">
        <v>1</v>
      </c>
      <c r="E8" s="7" t="str">
        <f t="shared" si="0"/>
        <v>Always one row per interval</v>
      </c>
      <c r="F8" s="19"/>
      <c r="G8" s="4">
        <f>IF(F8&gt;0,F8,IF(PrefetchDBSummary!$C$10="B",AJ8,8))</f>
        <v>8</v>
      </c>
      <c r="H8" s="4">
        <f>PrefetchDBSummary!$C$29</f>
        <v>0</v>
      </c>
      <c r="I8" s="4">
        <f>PrefetchDBSummary!$D$29</f>
        <v>0</v>
      </c>
      <c r="J8" s="5">
        <f t="shared" si="1"/>
        <v>0</v>
      </c>
      <c r="K8" s="4">
        <f t="shared" si="2"/>
        <v>0</v>
      </c>
      <c r="L8" s="4">
        <f t="shared" si="3"/>
        <v>0</v>
      </c>
      <c r="M8" s="5">
        <f t="shared" si="4"/>
        <v>0</v>
      </c>
      <c r="N8" s="17">
        <f t="shared" si="5"/>
        <v>0</v>
      </c>
      <c r="O8" s="32">
        <f t="shared" si="6"/>
        <v>0</v>
      </c>
      <c r="AG8" t="s">
        <v>407</v>
      </c>
      <c r="AH8" t="s">
        <v>582</v>
      </c>
      <c r="AI8">
        <v>1</v>
      </c>
      <c r="AJ8">
        <v>15</v>
      </c>
      <c r="AK8">
        <v>6</v>
      </c>
      <c r="AL8">
        <v>4</v>
      </c>
      <c r="AM8">
        <v>102</v>
      </c>
      <c r="AN8">
        <v>258</v>
      </c>
      <c r="AO8">
        <v>64</v>
      </c>
      <c r="AQ8" s="27">
        <f t="shared" si="7"/>
        <v>450.6</v>
      </c>
    </row>
    <row r="9" spans="1:43" ht="12.75">
      <c r="A9" s="18" t="s">
        <v>429</v>
      </c>
      <c r="B9" s="18" t="s">
        <v>2025</v>
      </c>
      <c r="C9" t="s">
        <v>862</v>
      </c>
      <c r="D9" s="19">
        <v>4</v>
      </c>
      <c r="E9" s="7" t="s">
        <v>863</v>
      </c>
      <c r="F9" s="19"/>
      <c r="G9" s="4">
        <f>IF(F9&gt;0,F9,IF(PrefetchDBSummary!$C$10="B",AJ9,8))</f>
        <v>8</v>
      </c>
      <c r="H9" s="4">
        <f>PrefetchDBSummary!$C$29</f>
        <v>0</v>
      </c>
      <c r="I9" s="4">
        <f>PrefetchDBSummary!$D$29</f>
        <v>0</v>
      </c>
      <c r="J9" s="5">
        <f t="shared" si="1"/>
        <v>0</v>
      </c>
      <c r="K9" s="4">
        <f t="shared" si="2"/>
        <v>0</v>
      </c>
      <c r="L9" s="4">
        <f t="shared" si="3"/>
        <v>0</v>
      </c>
      <c r="M9" s="5">
        <f t="shared" si="4"/>
        <v>0</v>
      </c>
      <c r="N9" s="17">
        <f t="shared" si="5"/>
        <v>0</v>
      </c>
      <c r="O9" s="32">
        <f t="shared" si="6"/>
        <v>0</v>
      </c>
      <c r="AG9" t="s">
        <v>865</v>
      </c>
      <c r="AH9" t="s">
        <v>583</v>
      </c>
      <c r="AI9">
        <v>1</v>
      </c>
      <c r="AJ9">
        <v>32</v>
      </c>
      <c r="AK9">
        <v>11</v>
      </c>
      <c r="AL9">
        <v>3</v>
      </c>
      <c r="AM9">
        <v>535</v>
      </c>
      <c r="AN9">
        <v>628</v>
      </c>
      <c r="AO9">
        <v>448</v>
      </c>
      <c r="AQ9" s="27">
        <f t="shared" si="7"/>
        <v>1615.8000000000002</v>
      </c>
    </row>
    <row r="10" spans="1:43" ht="12.75">
      <c r="A10" s="18" t="s">
        <v>429</v>
      </c>
      <c r="B10" s="18" t="s">
        <v>2025</v>
      </c>
      <c r="C10" t="s">
        <v>1495</v>
      </c>
      <c r="D10" s="19">
        <v>1</v>
      </c>
      <c r="E10" s="7" t="s">
        <v>1513</v>
      </c>
      <c r="F10" s="19"/>
      <c r="G10" s="4">
        <f>IF(F10&gt;0,F10,IF(PrefetchDBSummary!$C$10="B",AJ10,8))</f>
        <v>8</v>
      </c>
      <c r="H10" s="4">
        <f>PrefetchDBSummary!$C$29</f>
        <v>0</v>
      </c>
      <c r="I10" s="4">
        <f>PrefetchDBSummary!$D$29</f>
        <v>0</v>
      </c>
      <c r="J10" s="5">
        <f t="shared" si="1"/>
        <v>0</v>
      </c>
      <c r="K10" s="4">
        <f t="shared" si="2"/>
        <v>0</v>
      </c>
      <c r="L10" s="4">
        <f t="shared" si="3"/>
        <v>0</v>
      </c>
      <c r="M10" s="5">
        <f t="shared" si="4"/>
        <v>0</v>
      </c>
      <c r="N10" s="17">
        <f t="shared" si="5"/>
        <v>0</v>
      </c>
      <c r="O10" s="32">
        <f t="shared" si="6"/>
        <v>0</v>
      </c>
      <c r="AG10" t="s">
        <v>1505</v>
      </c>
      <c r="AH10" t="s">
        <v>583</v>
      </c>
      <c r="AI10">
        <v>5</v>
      </c>
      <c r="AJ10">
        <v>8</v>
      </c>
      <c r="AK10">
        <v>9</v>
      </c>
      <c r="AL10">
        <v>0</v>
      </c>
      <c r="AM10">
        <v>2977</v>
      </c>
      <c r="AN10">
        <v>2977</v>
      </c>
      <c r="AO10">
        <v>2944</v>
      </c>
      <c r="AQ10" s="27">
        <f t="shared" si="7"/>
        <v>1654.6000000000001</v>
      </c>
    </row>
    <row r="11" spans="1:43" ht="12.75">
      <c r="A11" s="18" t="s">
        <v>429</v>
      </c>
      <c r="B11" s="18" t="s">
        <v>2025</v>
      </c>
      <c r="C11" t="s">
        <v>1496</v>
      </c>
      <c r="D11" s="19">
        <v>1</v>
      </c>
      <c r="E11" s="7" t="str">
        <f>IF(AH11="S","Always one row per interval","")</f>
        <v>Always one row per interval</v>
      </c>
      <c r="F11" s="19"/>
      <c r="G11" s="4">
        <f>IF(F11&gt;0,F11,IF(PrefetchDBSummary!$C$10="B",AJ11,8))</f>
        <v>8</v>
      </c>
      <c r="H11" s="4">
        <f>PrefetchDBSummary!$C$29</f>
        <v>0</v>
      </c>
      <c r="I11" s="4">
        <f>PrefetchDBSummary!$D$29</f>
        <v>0</v>
      </c>
      <c r="J11" s="5">
        <f t="shared" si="1"/>
        <v>0</v>
      </c>
      <c r="K11" s="4">
        <f t="shared" si="2"/>
        <v>0</v>
      </c>
      <c r="L11" s="4">
        <f t="shared" si="3"/>
        <v>0</v>
      </c>
      <c r="M11" s="5">
        <f t="shared" si="4"/>
        <v>0</v>
      </c>
      <c r="N11" s="17">
        <f t="shared" si="5"/>
        <v>0</v>
      </c>
      <c r="O11" s="32">
        <f t="shared" si="6"/>
        <v>0</v>
      </c>
      <c r="AG11" t="s">
        <v>1506</v>
      </c>
      <c r="AH11" t="s">
        <v>582</v>
      </c>
      <c r="AI11">
        <v>5</v>
      </c>
      <c r="AJ11">
        <v>32</v>
      </c>
      <c r="AK11">
        <v>74</v>
      </c>
      <c r="AL11">
        <v>73</v>
      </c>
      <c r="AM11">
        <v>430</v>
      </c>
      <c r="AN11">
        <v>2893</v>
      </c>
      <c r="AO11">
        <v>64</v>
      </c>
      <c r="AQ11" s="27">
        <f t="shared" si="7"/>
        <v>2070.6</v>
      </c>
    </row>
    <row r="12" spans="1:43" ht="12.75">
      <c r="A12" s="18" t="s">
        <v>429</v>
      </c>
      <c r="B12" s="18" t="s">
        <v>2025</v>
      </c>
      <c r="C12" t="s">
        <v>1474</v>
      </c>
      <c r="D12" s="19">
        <v>2</v>
      </c>
      <c r="E12" s="7" t="s">
        <v>1514</v>
      </c>
      <c r="F12" s="19"/>
      <c r="G12" s="4">
        <f>IF(F12&gt;0,F12,IF(PrefetchDBSummary!$C$10="B",AJ12,8))</f>
        <v>8</v>
      </c>
      <c r="H12" s="4">
        <f>PrefetchDBSummary!$C$29</f>
        <v>0</v>
      </c>
      <c r="I12" s="4">
        <f>PrefetchDBSummary!$D$29</f>
        <v>0</v>
      </c>
      <c r="J12" s="5">
        <f t="shared" si="1"/>
        <v>0</v>
      </c>
      <c r="K12" s="4">
        <f t="shared" si="2"/>
        <v>0</v>
      </c>
      <c r="L12" s="4">
        <f t="shared" si="3"/>
        <v>0</v>
      </c>
      <c r="M12" s="5">
        <f t="shared" si="4"/>
        <v>0</v>
      </c>
      <c r="N12" s="17">
        <f t="shared" si="5"/>
        <v>0</v>
      </c>
      <c r="O12" s="32">
        <f t="shared" si="6"/>
        <v>0</v>
      </c>
      <c r="AG12" t="s">
        <v>1478</v>
      </c>
      <c r="AH12" t="s">
        <v>583</v>
      </c>
      <c r="AI12">
        <v>8</v>
      </c>
      <c r="AJ12">
        <v>8</v>
      </c>
      <c r="AK12">
        <v>8</v>
      </c>
      <c r="AL12">
        <v>0</v>
      </c>
      <c r="AM12">
        <v>408</v>
      </c>
      <c r="AN12">
        <v>408</v>
      </c>
      <c r="AO12">
        <v>384</v>
      </c>
      <c r="AQ12" s="27">
        <f t="shared" si="7"/>
        <v>803.2</v>
      </c>
    </row>
    <row r="13" spans="1:43" ht="12.75">
      <c r="A13" s="18" t="s">
        <v>429</v>
      </c>
      <c r="B13" s="18" t="s">
        <v>2025</v>
      </c>
      <c r="C13" t="s">
        <v>92</v>
      </c>
      <c r="D13" s="19">
        <v>1</v>
      </c>
      <c r="E13" s="7" t="str">
        <f>IF(AH13="S","Always one row per interval","")</f>
        <v>Always one row per interval</v>
      </c>
      <c r="F13" s="19"/>
      <c r="G13" s="4">
        <f>IF(F13&gt;0,F13,IF(PrefetchDBSummary!$C$10="B",AJ13,8))</f>
        <v>8</v>
      </c>
      <c r="H13" s="4">
        <f>PrefetchDBSummary!$C$29</f>
        <v>0</v>
      </c>
      <c r="I13" s="4">
        <f>PrefetchDBSummary!$D$29</f>
        <v>0</v>
      </c>
      <c r="J13" s="5">
        <f t="shared" si="1"/>
        <v>0</v>
      </c>
      <c r="K13" s="4">
        <f t="shared" si="2"/>
        <v>0</v>
      </c>
      <c r="L13" s="4">
        <f t="shared" si="3"/>
        <v>0</v>
      </c>
      <c r="M13" s="5">
        <f t="shared" si="4"/>
        <v>0</v>
      </c>
      <c r="N13" s="17">
        <f t="shared" si="5"/>
        <v>0</v>
      </c>
      <c r="O13" s="32">
        <f t="shared" si="6"/>
        <v>0</v>
      </c>
      <c r="AG13" t="s">
        <v>309</v>
      </c>
      <c r="AH13" t="s">
        <v>582</v>
      </c>
      <c r="AI13">
        <v>1</v>
      </c>
      <c r="AJ13">
        <v>32</v>
      </c>
      <c r="AK13">
        <v>16</v>
      </c>
      <c r="AL13">
        <v>14</v>
      </c>
      <c r="AM13">
        <v>152</v>
      </c>
      <c r="AN13">
        <v>698</v>
      </c>
      <c r="AO13">
        <v>64</v>
      </c>
      <c r="AQ13" s="27">
        <f t="shared" si="7"/>
        <v>690.6</v>
      </c>
    </row>
    <row r="14" spans="1:43" ht="12.75">
      <c r="A14" s="18" t="s">
        <v>429</v>
      </c>
      <c r="B14" s="18" t="s">
        <v>2025</v>
      </c>
      <c r="C14" t="s">
        <v>1497</v>
      </c>
      <c r="D14" s="19">
        <v>1</v>
      </c>
      <c r="E14" s="7" t="str">
        <f>IF(AH14="S","Always one row per interval","")</f>
        <v>Always one row per interval</v>
      </c>
      <c r="F14" s="19"/>
      <c r="G14" s="4">
        <f>IF(F14&gt;0,F14,IF(PrefetchDBSummary!$C$10="B",AJ14,8))</f>
        <v>8</v>
      </c>
      <c r="H14" s="4">
        <f>PrefetchDBSummary!$C$29</f>
        <v>0</v>
      </c>
      <c r="I14" s="4">
        <f>PrefetchDBSummary!$D$29</f>
        <v>0</v>
      </c>
      <c r="J14" s="5">
        <f t="shared" si="1"/>
        <v>0</v>
      </c>
      <c r="K14" s="4">
        <f t="shared" si="2"/>
        <v>0</v>
      </c>
      <c r="L14" s="4">
        <f t="shared" si="3"/>
        <v>0</v>
      </c>
      <c r="M14" s="5">
        <f t="shared" si="4"/>
        <v>0</v>
      </c>
      <c r="N14" s="17">
        <f t="shared" si="5"/>
        <v>0</v>
      </c>
      <c r="O14" s="32">
        <f t="shared" si="6"/>
        <v>0</v>
      </c>
      <c r="AG14" t="s">
        <v>1507</v>
      </c>
      <c r="AH14" t="s">
        <v>582</v>
      </c>
      <c r="AI14">
        <v>5</v>
      </c>
      <c r="AJ14">
        <v>32</v>
      </c>
      <c r="AK14">
        <v>13</v>
      </c>
      <c r="AL14">
        <v>9</v>
      </c>
      <c r="AM14">
        <v>137</v>
      </c>
      <c r="AN14">
        <v>488</v>
      </c>
      <c r="AO14">
        <v>64</v>
      </c>
      <c r="AQ14" s="27">
        <f t="shared" si="7"/>
        <v>618.6</v>
      </c>
    </row>
    <row r="15" spans="1:43" ht="12.75">
      <c r="A15" s="18" t="s">
        <v>429</v>
      </c>
      <c r="B15" s="18" t="s">
        <v>2025</v>
      </c>
      <c r="C15" t="s">
        <v>1476</v>
      </c>
      <c r="D15" s="19">
        <v>1</v>
      </c>
      <c r="E15" s="7" t="str">
        <f>IF(AH15="S","Always one row per interval","")</f>
        <v>Always one row per interval</v>
      </c>
      <c r="F15" s="19"/>
      <c r="G15" s="4">
        <f>IF(F15&gt;0,F15,IF(PrefetchDBSummary!$C$10="B",AJ15,8))</f>
        <v>8</v>
      </c>
      <c r="H15" s="4">
        <f>PrefetchDBSummary!$C$29</f>
        <v>0</v>
      </c>
      <c r="I15" s="4">
        <f>PrefetchDBSummary!$D$29</f>
        <v>0</v>
      </c>
      <c r="J15" s="5">
        <f t="shared" si="1"/>
        <v>0</v>
      </c>
      <c r="K15" s="4">
        <f t="shared" si="2"/>
        <v>0</v>
      </c>
      <c r="L15" s="4">
        <f t="shared" si="3"/>
        <v>0</v>
      </c>
      <c r="M15" s="5">
        <f t="shared" si="4"/>
        <v>0</v>
      </c>
      <c r="N15" s="17">
        <f t="shared" si="5"/>
        <v>0</v>
      </c>
      <c r="O15" s="32">
        <f t="shared" si="6"/>
        <v>0</v>
      </c>
      <c r="AG15" t="s">
        <v>1479</v>
      </c>
      <c r="AH15" t="s">
        <v>582</v>
      </c>
      <c r="AI15">
        <v>1</v>
      </c>
      <c r="AJ15">
        <v>15</v>
      </c>
      <c r="AK15">
        <v>4</v>
      </c>
      <c r="AL15">
        <v>3</v>
      </c>
      <c r="AM15">
        <v>80</v>
      </c>
      <c r="AN15">
        <v>197</v>
      </c>
      <c r="AO15">
        <v>64</v>
      </c>
      <c r="AQ15" s="27">
        <f t="shared" si="7"/>
        <v>390.6</v>
      </c>
    </row>
    <row r="16" spans="1:43" ht="12.75">
      <c r="A16" s="18" t="s">
        <v>429</v>
      </c>
      <c r="B16" s="18" t="s">
        <v>2025</v>
      </c>
      <c r="C16" t="s">
        <v>1498</v>
      </c>
      <c r="D16" s="19">
        <v>1</v>
      </c>
      <c r="E16" s="7" t="s">
        <v>1515</v>
      </c>
      <c r="F16" s="19"/>
      <c r="G16" s="4">
        <f>IF(F16&gt;0,F16,IF(PrefetchDBSummary!$C$10="B",AJ16,8))</f>
        <v>8</v>
      </c>
      <c r="H16" s="4">
        <f>PrefetchDBSummary!$C$29</f>
        <v>0</v>
      </c>
      <c r="I16" s="4">
        <f>PrefetchDBSummary!$D$29</f>
        <v>0</v>
      </c>
      <c r="J16" s="5">
        <f t="shared" si="1"/>
        <v>0</v>
      </c>
      <c r="K16" s="4">
        <f t="shared" si="2"/>
        <v>0</v>
      </c>
      <c r="L16" s="4">
        <f t="shared" si="3"/>
        <v>0</v>
      </c>
      <c r="M16" s="5">
        <f t="shared" si="4"/>
        <v>0</v>
      </c>
      <c r="N16" s="17">
        <f t="shared" si="5"/>
        <v>0</v>
      </c>
      <c r="O16" s="32">
        <f t="shared" si="6"/>
        <v>0</v>
      </c>
      <c r="AG16" t="s">
        <v>1508</v>
      </c>
      <c r="AH16" t="s">
        <v>583</v>
      </c>
      <c r="AI16">
        <v>8</v>
      </c>
      <c r="AJ16">
        <v>8</v>
      </c>
      <c r="AK16">
        <v>7</v>
      </c>
      <c r="AL16">
        <v>0</v>
      </c>
      <c r="AM16">
        <v>1838</v>
      </c>
      <c r="AN16">
        <v>1838</v>
      </c>
      <c r="AO16">
        <v>1795</v>
      </c>
      <c r="AQ16" s="27">
        <f t="shared" si="7"/>
        <v>1167</v>
      </c>
    </row>
    <row r="17" spans="1:43" ht="12.75">
      <c r="A17" s="18" t="s">
        <v>429</v>
      </c>
      <c r="B17" s="18" t="s">
        <v>2025</v>
      </c>
      <c r="C17" t="s">
        <v>1475</v>
      </c>
      <c r="D17" s="19">
        <v>1</v>
      </c>
      <c r="E17" s="7" t="s">
        <v>1516</v>
      </c>
      <c r="F17" s="19"/>
      <c r="G17" s="4">
        <f>IF(F17&gt;0,F17,IF(PrefetchDBSummary!$C$10="B",AJ17,8))</f>
        <v>8</v>
      </c>
      <c r="H17" s="4">
        <f>PrefetchDBSummary!$C$29</f>
        <v>0</v>
      </c>
      <c r="I17" s="4">
        <f>PrefetchDBSummary!$D$29</f>
        <v>0</v>
      </c>
      <c r="J17" s="5">
        <f t="shared" si="1"/>
        <v>0</v>
      </c>
      <c r="K17" s="4">
        <f t="shared" si="2"/>
        <v>0</v>
      </c>
      <c r="L17" s="4">
        <f t="shared" si="3"/>
        <v>0</v>
      </c>
      <c r="M17" s="5">
        <f t="shared" si="4"/>
        <v>0</v>
      </c>
      <c r="N17" s="17">
        <f t="shared" si="5"/>
        <v>0</v>
      </c>
      <c r="O17" s="32">
        <f t="shared" si="6"/>
        <v>0</v>
      </c>
      <c r="AG17" t="s">
        <v>1480</v>
      </c>
      <c r="AH17" t="s">
        <v>583</v>
      </c>
      <c r="AI17">
        <v>1</v>
      </c>
      <c r="AJ17">
        <v>15</v>
      </c>
      <c r="AK17">
        <v>7</v>
      </c>
      <c r="AL17">
        <v>5</v>
      </c>
      <c r="AM17">
        <v>347</v>
      </c>
      <c r="AN17">
        <v>494</v>
      </c>
      <c r="AO17">
        <v>320</v>
      </c>
      <c r="AQ17" s="27">
        <f t="shared" si="7"/>
        <v>561</v>
      </c>
    </row>
    <row r="18" spans="1:43" ht="12.75">
      <c r="A18" s="18" t="s">
        <v>429</v>
      </c>
      <c r="B18" s="18" t="s">
        <v>2025</v>
      </c>
      <c r="C18" t="s">
        <v>1499</v>
      </c>
      <c r="D18" s="19">
        <v>1</v>
      </c>
      <c r="E18" s="7" t="s">
        <v>1517</v>
      </c>
      <c r="F18" s="19"/>
      <c r="G18" s="4">
        <f>IF(F18&gt;0,F18,IF(PrefetchDBSummary!$C$10="B",AJ18,8))</f>
        <v>8</v>
      </c>
      <c r="H18" s="4">
        <f>PrefetchDBSummary!$C$29</f>
        <v>0</v>
      </c>
      <c r="I18" s="4">
        <f>PrefetchDBSummary!$D$29</f>
        <v>0</v>
      </c>
      <c r="J18" s="5">
        <f t="shared" si="1"/>
        <v>0</v>
      </c>
      <c r="K18" s="4">
        <f t="shared" si="2"/>
        <v>0</v>
      </c>
      <c r="L18" s="4">
        <f t="shared" si="3"/>
        <v>0</v>
      </c>
      <c r="M18" s="5">
        <f t="shared" si="4"/>
        <v>0</v>
      </c>
      <c r="N18" s="17">
        <f t="shared" si="5"/>
        <v>0</v>
      </c>
      <c r="O18" s="32">
        <f t="shared" si="6"/>
        <v>0</v>
      </c>
      <c r="AG18" t="s">
        <v>1509</v>
      </c>
      <c r="AH18" t="s">
        <v>583</v>
      </c>
      <c r="AI18">
        <v>5</v>
      </c>
      <c r="AJ18">
        <v>8</v>
      </c>
      <c r="AK18">
        <v>14</v>
      </c>
      <c r="AL18">
        <v>9</v>
      </c>
      <c r="AM18">
        <v>357</v>
      </c>
      <c r="AN18">
        <v>708</v>
      </c>
      <c r="AO18">
        <v>259</v>
      </c>
      <c r="AQ18" s="27">
        <f t="shared" si="7"/>
        <v>740.6</v>
      </c>
    </row>
    <row r="19" spans="1:43" ht="12.75">
      <c r="A19" s="18" t="s">
        <v>429</v>
      </c>
      <c r="B19" s="18" t="s">
        <v>2025</v>
      </c>
      <c r="C19" t="s">
        <v>1500</v>
      </c>
      <c r="D19" s="19">
        <v>1</v>
      </c>
      <c r="E19" s="7" t="str">
        <f>IF(AH19="S","Always one row per interval","")</f>
        <v>Always one row per interval</v>
      </c>
      <c r="F19" s="19"/>
      <c r="G19" s="4">
        <f>IF(F19&gt;0,F19,IF(PrefetchDBSummary!$C$10="B",AJ19,8))</f>
        <v>8</v>
      </c>
      <c r="H19" s="4">
        <f>PrefetchDBSummary!$C$29</f>
        <v>0</v>
      </c>
      <c r="I19" s="4">
        <f>PrefetchDBSummary!$D$29</f>
        <v>0</v>
      </c>
      <c r="J19" s="5">
        <f t="shared" si="1"/>
        <v>0</v>
      </c>
      <c r="K19" s="4">
        <f t="shared" si="2"/>
        <v>0</v>
      </c>
      <c r="L19" s="4">
        <f t="shared" si="3"/>
        <v>0</v>
      </c>
      <c r="M19" s="5">
        <f t="shared" si="4"/>
        <v>0</v>
      </c>
      <c r="N19" s="17">
        <f t="shared" si="5"/>
        <v>0</v>
      </c>
      <c r="O19" s="32">
        <f t="shared" si="6"/>
        <v>0</v>
      </c>
      <c r="AG19" t="s">
        <v>1510</v>
      </c>
      <c r="AH19" t="s">
        <v>582</v>
      </c>
      <c r="AI19">
        <v>5</v>
      </c>
      <c r="AJ19">
        <v>32</v>
      </c>
      <c r="AK19">
        <v>64</v>
      </c>
      <c r="AL19">
        <v>60</v>
      </c>
      <c r="AM19">
        <v>692</v>
      </c>
      <c r="AN19">
        <v>2984</v>
      </c>
      <c r="AO19">
        <v>384</v>
      </c>
      <c r="AQ19" s="27">
        <f t="shared" si="7"/>
        <v>1950.6</v>
      </c>
    </row>
    <row r="20" spans="1:43" ht="12.75">
      <c r="A20" s="18" t="s">
        <v>429</v>
      </c>
      <c r="B20" s="18" t="s">
        <v>2025</v>
      </c>
      <c r="C20" t="s">
        <v>864</v>
      </c>
      <c r="D20" s="19">
        <v>4</v>
      </c>
      <c r="E20" s="7" t="s">
        <v>863</v>
      </c>
      <c r="F20" s="19"/>
      <c r="G20" s="4">
        <f>IF(F20&gt;0,F20,IF(PrefetchDBSummary!$C$10="B",AJ20,8))</f>
        <v>8</v>
      </c>
      <c r="H20" s="4">
        <f>PrefetchDBSummary!$C$29</f>
        <v>0</v>
      </c>
      <c r="I20" s="4">
        <f>PrefetchDBSummary!$D$29</f>
        <v>0</v>
      </c>
      <c r="J20" s="5">
        <f t="shared" si="1"/>
        <v>0</v>
      </c>
      <c r="K20" s="4">
        <f t="shared" si="2"/>
        <v>0</v>
      </c>
      <c r="L20" s="4">
        <f t="shared" si="3"/>
        <v>0</v>
      </c>
      <c r="M20" s="5">
        <f t="shared" si="4"/>
        <v>0</v>
      </c>
      <c r="N20" s="17">
        <f t="shared" si="5"/>
        <v>0</v>
      </c>
      <c r="O20" s="32">
        <f t="shared" si="6"/>
        <v>0</v>
      </c>
      <c r="AG20" t="s">
        <v>866</v>
      </c>
      <c r="AH20" t="s">
        <v>583</v>
      </c>
      <c r="AI20">
        <v>1</v>
      </c>
      <c r="AJ20">
        <v>15</v>
      </c>
      <c r="AK20">
        <v>6</v>
      </c>
      <c r="AL20">
        <v>3</v>
      </c>
      <c r="AM20">
        <v>162</v>
      </c>
      <c r="AN20">
        <v>279</v>
      </c>
      <c r="AO20">
        <v>128</v>
      </c>
      <c r="AQ20" s="27">
        <f t="shared" si="7"/>
        <v>796.8</v>
      </c>
    </row>
    <row r="21" spans="1:43" ht="12.75">
      <c r="A21" s="18" t="s">
        <v>429</v>
      </c>
      <c r="B21" s="18" t="s">
        <v>2025</v>
      </c>
      <c r="C21" t="s">
        <v>1501</v>
      </c>
      <c r="D21" s="19">
        <v>1</v>
      </c>
      <c r="E21" s="7" t="str">
        <f>IF(AH21="S","Always one row per interval","")</f>
        <v>Always one row per interval</v>
      </c>
      <c r="F21" s="19"/>
      <c r="G21" s="4">
        <f>IF(F21&gt;0,F21,IF(PrefetchDBSummary!$C$10="B",AJ21,8))</f>
        <v>8</v>
      </c>
      <c r="H21" s="4">
        <f>PrefetchDBSummary!$C$29</f>
        <v>0</v>
      </c>
      <c r="I21" s="4">
        <f>PrefetchDBSummary!$D$29</f>
        <v>0</v>
      </c>
      <c r="J21" s="5">
        <f t="shared" si="1"/>
        <v>0</v>
      </c>
      <c r="K21" s="4">
        <f t="shared" si="2"/>
        <v>0</v>
      </c>
      <c r="L21" s="4">
        <f t="shared" si="3"/>
        <v>0</v>
      </c>
      <c r="M21" s="5">
        <f t="shared" si="4"/>
        <v>0</v>
      </c>
      <c r="N21" s="17">
        <f t="shared" si="5"/>
        <v>0</v>
      </c>
      <c r="O21" s="32">
        <f t="shared" si="6"/>
        <v>0</v>
      </c>
      <c r="AG21" t="s">
        <v>1511</v>
      </c>
      <c r="AH21" t="s">
        <v>582</v>
      </c>
      <c r="AI21">
        <v>5</v>
      </c>
      <c r="AJ21">
        <v>24</v>
      </c>
      <c r="AK21">
        <v>20</v>
      </c>
      <c r="AL21">
        <v>19</v>
      </c>
      <c r="AM21">
        <v>160</v>
      </c>
      <c r="AN21">
        <v>901</v>
      </c>
      <c r="AO21">
        <v>64</v>
      </c>
      <c r="AQ21" s="27">
        <f t="shared" si="7"/>
        <v>774.6</v>
      </c>
    </row>
    <row r="22" spans="1:43" ht="12.75">
      <c r="A22" s="18" t="s">
        <v>429</v>
      </c>
      <c r="B22" s="18" t="s">
        <v>2025</v>
      </c>
      <c r="C22" t="s">
        <v>1502</v>
      </c>
      <c r="D22" s="19">
        <v>1</v>
      </c>
      <c r="E22" s="7" t="s">
        <v>1518</v>
      </c>
      <c r="F22" s="19"/>
      <c r="G22" s="4">
        <f>IF(F22&gt;0,F22,IF(PrefetchDBSummary!$C$10="B",AJ22,8))</f>
        <v>8</v>
      </c>
      <c r="H22" s="4">
        <f>PrefetchDBSummary!$C$29</f>
        <v>0</v>
      </c>
      <c r="I22" s="4">
        <f>PrefetchDBSummary!$D$29</f>
        <v>0</v>
      </c>
      <c r="J22" s="5">
        <f t="shared" si="1"/>
        <v>0</v>
      </c>
      <c r="K22" s="4">
        <f t="shared" si="2"/>
        <v>0</v>
      </c>
      <c r="L22" s="4">
        <f t="shared" si="3"/>
        <v>0</v>
      </c>
      <c r="M22" s="5">
        <f t="shared" si="4"/>
        <v>0</v>
      </c>
      <c r="N22" s="17">
        <f t="shared" si="5"/>
        <v>0</v>
      </c>
      <c r="O22" s="32">
        <f t="shared" si="6"/>
        <v>0</v>
      </c>
      <c r="AG22" t="s">
        <v>1512</v>
      </c>
      <c r="AH22" t="s">
        <v>583</v>
      </c>
      <c r="AI22">
        <v>5</v>
      </c>
      <c r="AJ22">
        <v>8</v>
      </c>
      <c r="AK22">
        <v>9</v>
      </c>
      <c r="AL22">
        <v>0</v>
      </c>
      <c r="AM22">
        <v>1053</v>
      </c>
      <c r="AN22">
        <v>1053</v>
      </c>
      <c r="AO22">
        <v>1012</v>
      </c>
      <c r="AQ22" s="27">
        <f t="shared" si="7"/>
        <v>889.8</v>
      </c>
    </row>
    <row r="23" spans="1:43" ht="12.75">
      <c r="A23" s="18" t="s">
        <v>429</v>
      </c>
      <c r="B23" s="18" t="s">
        <v>2025</v>
      </c>
      <c r="C23" t="s">
        <v>93</v>
      </c>
      <c r="D23" s="19">
        <v>1</v>
      </c>
      <c r="E23" s="7" t="s">
        <v>712</v>
      </c>
      <c r="F23" s="19"/>
      <c r="G23" s="4">
        <f>IF(F23&gt;0,F23,IF(PrefetchDBSummary!$C$10="B",AJ23,8))</f>
        <v>8</v>
      </c>
      <c r="H23" s="4">
        <f>PrefetchDBSummary!$C$29</f>
        <v>0</v>
      </c>
      <c r="I23" s="4">
        <f>PrefetchDBSummary!$D$29</f>
        <v>0</v>
      </c>
      <c r="J23" s="5">
        <f t="shared" si="1"/>
        <v>0</v>
      </c>
      <c r="K23" s="4">
        <f t="shared" si="2"/>
        <v>0</v>
      </c>
      <c r="L23" s="4">
        <f t="shared" si="3"/>
        <v>0</v>
      </c>
      <c r="M23" s="5">
        <f t="shared" si="4"/>
        <v>0</v>
      </c>
      <c r="N23" s="17">
        <f t="shared" si="5"/>
        <v>0</v>
      </c>
      <c r="O23" s="32">
        <f t="shared" si="6"/>
        <v>0</v>
      </c>
      <c r="AG23" t="s">
        <v>94</v>
      </c>
      <c r="AH23" t="s">
        <v>583</v>
      </c>
      <c r="AI23">
        <v>8</v>
      </c>
      <c r="AJ23">
        <v>8</v>
      </c>
      <c r="AK23">
        <v>5</v>
      </c>
      <c r="AL23">
        <v>0</v>
      </c>
      <c r="AM23">
        <v>229</v>
      </c>
      <c r="AN23">
        <v>229</v>
      </c>
      <c r="AO23">
        <v>192</v>
      </c>
      <c r="AQ23" s="27">
        <f t="shared" si="7"/>
        <v>481.8</v>
      </c>
    </row>
    <row r="24" spans="1:44" ht="12.75">
      <c r="A24" s="39" t="s">
        <v>1771</v>
      </c>
      <c r="B24" s="7" t="s">
        <v>2042</v>
      </c>
      <c r="C24" t="s">
        <v>1772</v>
      </c>
      <c r="D24" s="19">
        <v>1</v>
      </c>
      <c r="E24" s="78" t="s">
        <v>1862</v>
      </c>
      <c r="F24" s="19"/>
      <c r="G24" s="4">
        <f>IF(F24&gt;0,F24,IF(PrefetchDBSummary!$C$10="B",AJ24,8))</f>
        <v>8</v>
      </c>
      <c r="H24" s="4">
        <f>PrefetchDBSummary!$C$22</f>
        <v>0</v>
      </c>
      <c r="I24" s="4">
        <f>PrefetchDBSummary!$D$22</f>
        <v>0</v>
      </c>
      <c r="J24" s="5">
        <f t="shared" si="1"/>
        <v>0</v>
      </c>
      <c r="K24" s="4">
        <f t="shared" si="2"/>
        <v>0</v>
      </c>
      <c r="L24" s="4">
        <f t="shared" si="3"/>
        <v>0</v>
      </c>
      <c r="M24" s="5">
        <f t="shared" si="4"/>
        <v>0</v>
      </c>
      <c r="N24" s="17">
        <f t="shared" si="5"/>
        <v>0</v>
      </c>
      <c r="O24" s="32">
        <f t="shared" si="6"/>
        <v>0</v>
      </c>
      <c r="AG24" t="s">
        <v>1781</v>
      </c>
      <c r="AH24" t="s">
        <v>583</v>
      </c>
      <c r="AI24">
        <v>1</v>
      </c>
      <c r="AJ24">
        <v>32</v>
      </c>
      <c r="AK24">
        <v>3</v>
      </c>
      <c r="AL24">
        <v>0</v>
      </c>
      <c r="AM24">
        <v>75</v>
      </c>
      <c r="AN24">
        <v>75</v>
      </c>
      <c r="AO24">
        <v>64</v>
      </c>
      <c r="AQ24" s="27">
        <f t="shared" si="7"/>
        <v>366.6</v>
      </c>
      <c r="AR24" s="15"/>
    </row>
    <row r="25" spans="1:44" ht="12.75">
      <c r="A25" s="39" t="s">
        <v>1771</v>
      </c>
      <c r="B25" s="7" t="s">
        <v>2042</v>
      </c>
      <c r="C25" t="s">
        <v>1773</v>
      </c>
      <c r="D25" s="19">
        <v>5</v>
      </c>
      <c r="E25" s="12" t="s">
        <v>1863</v>
      </c>
      <c r="F25" s="19"/>
      <c r="G25" s="4">
        <f>IF(F25&gt;0,F25,IF(PrefetchDBSummary!$C$10="B",AJ25,8))</f>
        <v>8</v>
      </c>
      <c r="H25" s="4">
        <f>PrefetchDBSummary!$C$22</f>
        <v>0</v>
      </c>
      <c r="I25" s="4">
        <f>PrefetchDBSummary!$D$22</f>
        <v>0</v>
      </c>
      <c r="J25" s="5">
        <f t="shared" si="1"/>
        <v>0</v>
      </c>
      <c r="K25" s="4">
        <f t="shared" si="2"/>
        <v>0</v>
      </c>
      <c r="L25" s="4">
        <f t="shared" si="3"/>
        <v>0</v>
      </c>
      <c r="M25" s="5">
        <f t="shared" si="4"/>
        <v>0</v>
      </c>
      <c r="N25" s="17">
        <f t="shared" si="5"/>
        <v>0</v>
      </c>
      <c r="O25" s="32">
        <f t="shared" si="6"/>
        <v>0</v>
      </c>
      <c r="AG25" t="s">
        <v>1782</v>
      </c>
      <c r="AH25" t="s">
        <v>583</v>
      </c>
      <c r="AI25">
        <v>1</v>
      </c>
      <c r="AJ25">
        <v>32</v>
      </c>
      <c r="AK25">
        <v>5</v>
      </c>
      <c r="AL25">
        <v>2</v>
      </c>
      <c r="AM25">
        <v>117</v>
      </c>
      <c r="AN25">
        <v>219</v>
      </c>
      <c r="AO25">
        <v>64</v>
      </c>
      <c r="AQ25" s="27">
        <f t="shared" si="7"/>
        <v>853</v>
      </c>
      <c r="AR25" s="15"/>
    </row>
    <row r="26" spans="1:44" ht="12.75">
      <c r="A26" s="39" t="s">
        <v>1771</v>
      </c>
      <c r="B26" s="7" t="s">
        <v>2042</v>
      </c>
      <c r="C26" t="s">
        <v>1774</v>
      </c>
      <c r="D26" s="19">
        <v>1</v>
      </c>
      <c r="E26" s="7" t="s">
        <v>721</v>
      </c>
      <c r="F26" s="19"/>
      <c r="G26" s="4">
        <f>IF(F26&gt;0,F26,IF(PrefetchDBSummary!$C$10="B",AJ26,8))</f>
        <v>8</v>
      </c>
      <c r="H26" s="4">
        <f>PrefetchDBSummary!$C$22</f>
        <v>0</v>
      </c>
      <c r="I26" s="4">
        <f>PrefetchDBSummary!$D$22</f>
        <v>0</v>
      </c>
      <c r="J26" s="5">
        <f t="shared" si="1"/>
        <v>0</v>
      </c>
      <c r="K26" s="4">
        <f t="shared" si="2"/>
        <v>0</v>
      </c>
      <c r="L26" s="4">
        <f t="shared" si="3"/>
        <v>0</v>
      </c>
      <c r="M26" s="5">
        <f t="shared" si="4"/>
        <v>0</v>
      </c>
      <c r="N26" s="17">
        <f t="shared" si="5"/>
        <v>0</v>
      </c>
      <c r="O26" s="32">
        <f t="shared" si="6"/>
        <v>0</v>
      </c>
      <c r="AG26" t="s">
        <v>1783</v>
      </c>
      <c r="AH26" t="s">
        <v>582</v>
      </c>
      <c r="AI26">
        <v>1</v>
      </c>
      <c r="AJ26">
        <v>8</v>
      </c>
      <c r="AK26">
        <v>6</v>
      </c>
      <c r="AL26">
        <v>0</v>
      </c>
      <c r="AM26">
        <v>354</v>
      </c>
      <c r="AN26">
        <v>354</v>
      </c>
      <c r="AO26">
        <v>320</v>
      </c>
      <c r="AQ26" s="27">
        <f t="shared" si="7"/>
        <v>549</v>
      </c>
      <c r="AR26" s="15"/>
    </row>
    <row r="27" spans="1:44" ht="12.75">
      <c r="A27" s="39" t="s">
        <v>1771</v>
      </c>
      <c r="B27" s="7" t="s">
        <v>2042</v>
      </c>
      <c r="C27" t="s">
        <v>1775</v>
      </c>
      <c r="D27" s="19">
        <v>1</v>
      </c>
      <c r="E27" s="7" t="s">
        <v>721</v>
      </c>
      <c r="F27" s="19"/>
      <c r="G27" s="4">
        <f>IF(F27&gt;0,F27,IF(PrefetchDBSummary!$C$10="B",AJ27,8))</f>
        <v>8</v>
      </c>
      <c r="H27" s="4">
        <f>PrefetchDBSummary!$C$22</f>
        <v>0</v>
      </c>
      <c r="I27" s="4">
        <f>PrefetchDBSummary!$D$22</f>
        <v>0</v>
      </c>
      <c r="J27" s="5">
        <f t="shared" si="1"/>
        <v>0</v>
      </c>
      <c r="K27" s="4">
        <f t="shared" si="2"/>
        <v>0</v>
      </c>
      <c r="L27" s="4">
        <f t="shared" si="3"/>
        <v>0</v>
      </c>
      <c r="M27" s="5">
        <f t="shared" si="4"/>
        <v>0</v>
      </c>
      <c r="N27" s="17">
        <f t="shared" si="5"/>
        <v>0</v>
      </c>
      <c r="O27" s="32">
        <f t="shared" si="6"/>
        <v>0</v>
      </c>
      <c r="AG27" t="s">
        <v>1784</v>
      </c>
      <c r="AH27" t="s">
        <v>582</v>
      </c>
      <c r="AI27">
        <v>1</v>
      </c>
      <c r="AJ27">
        <v>32</v>
      </c>
      <c r="AK27">
        <v>2</v>
      </c>
      <c r="AL27">
        <v>1</v>
      </c>
      <c r="AM27">
        <v>70</v>
      </c>
      <c r="AN27">
        <v>85</v>
      </c>
      <c r="AO27">
        <v>64</v>
      </c>
      <c r="AQ27" s="27">
        <f t="shared" si="7"/>
        <v>342.6</v>
      </c>
      <c r="AR27" s="15"/>
    </row>
    <row r="28" spans="1:44" ht="12.75">
      <c r="A28" s="39" t="s">
        <v>1771</v>
      </c>
      <c r="B28" s="7" t="s">
        <v>2042</v>
      </c>
      <c r="C28" t="s">
        <v>1776</v>
      </c>
      <c r="D28" s="19">
        <v>1</v>
      </c>
      <c r="E28" s="12" t="s">
        <v>1864</v>
      </c>
      <c r="F28" s="19"/>
      <c r="G28" s="4">
        <f>IF(F28&gt;0,F28,IF(PrefetchDBSummary!$C$10="B",AJ28,8))</f>
        <v>8</v>
      </c>
      <c r="H28" s="4">
        <f>PrefetchDBSummary!$C$22</f>
        <v>0</v>
      </c>
      <c r="I28" s="4">
        <f>PrefetchDBSummary!$D$22</f>
        <v>0</v>
      </c>
      <c r="J28" s="5">
        <f t="shared" si="1"/>
        <v>0</v>
      </c>
      <c r="K28" s="4">
        <f>PrefetchDBDetails!D33</f>
        <v>100</v>
      </c>
      <c r="L28" s="4">
        <f t="shared" si="3"/>
        <v>0</v>
      </c>
      <c r="M28" s="5">
        <f t="shared" si="4"/>
        <v>0</v>
      </c>
      <c r="N28" s="17">
        <f t="shared" si="5"/>
        <v>0</v>
      </c>
      <c r="O28" s="32">
        <f t="shared" si="6"/>
        <v>0</v>
      </c>
      <c r="AG28" t="s">
        <v>1785</v>
      </c>
      <c r="AH28" t="s">
        <v>583</v>
      </c>
      <c r="AI28">
        <v>1440</v>
      </c>
      <c r="AJ28">
        <v>8</v>
      </c>
      <c r="AK28">
        <v>3</v>
      </c>
      <c r="AL28">
        <v>0</v>
      </c>
      <c r="AM28">
        <v>127</v>
      </c>
      <c r="AN28">
        <v>127</v>
      </c>
      <c r="AO28">
        <v>112</v>
      </c>
      <c r="AQ28" s="27">
        <f t="shared" si="7"/>
        <v>389.8</v>
      </c>
      <c r="AR28" s="15"/>
    </row>
    <row r="29" spans="1:44" ht="12.75">
      <c r="A29" s="39" t="s">
        <v>1771</v>
      </c>
      <c r="B29" s="7" t="s">
        <v>2042</v>
      </c>
      <c r="C29" t="s">
        <v>1777</v>
      </c>
      <c r="D29" s="19">
        <v>10</v>
      </c>
      <c r="E29" s="78" t="s">
        <v>1865</v>
      </c>
      <c r="F29" s="19"/>
      <c r="G29" s="4">
        <f>IF(F29&gt;0,F29,IF(PrefetchDBSummary!$C$10="B",AJ29,8))</f>
        <v>8</v>
      </c>
      <c r="H29" s="4">
        <f>PrefetchDBSummary!$C$22</f>
        <v>0</v>
      </c>
      <c r="I29" s="4">
        <f>PrefetchDBSummary!$D$22</f>
        <v>0</v>
      </c>
      <c r="J29" s="5">
        <f t="shared" si="1"/>
        <v>0</v>
      </c>
      <c r="K29" s="4">
        <f t="shared" si="2"/>
        <v>0</v>
      </c>
      <c r="L29" s="4">
        <f t="shared" si="3"/>
        <v>0</v>
      </c>
      <c r="M29" s="5">
        <f t="shared" si="4"/>
        <v>0</v>
      </c>
      <c r="N29" s="17">
        <f t="shared" si="5"/>
        <v>0</v>
      </c>
      <c r="O29" s="32">
        <f t="shared" si="6"/>
        <v>0</v>
      </c>
      <c r="AG29" t="s">
        <v>1786</v>
      </c>
      <c r="AH29" t="s">
        <v>583</v>
      </c>
      <c r="AI29">
        <v>1</v>
      </c>
      <c r="AJ29">
        <v>14</v>
      </c>
      <c r="AK29">
        <v>10</v>
      </c>
      <c r="AL29">
        <v>3</v>
      </c>
      <c r="AM29">
        <v>166</v>
      </c>
      <c r="AN29">
        <v>307</v>
      </c>
      <c r="AO29">
        <v>64</v>
      </c>
      <c r="AQ29" s="27">
        <f t="shared" si="7"/>
        <v>1946</v>
      </c>
      <c r="AR29" s="15"/>
    </row>
    <row r="30" spans="1:44" ht="12.75">
      <c r="A30" s="39" t="s">
        <v>1771</v>
      </c>
      <c r="B30" s="7" t="s">
        <v>2042</v>
      </c>
      <c r="C30" t="s">
        <v>1778</v>
      </c>
      <c r="D30" s="19">
        <v>4</v>
      </c>
      <c r="E30" s="12" t="s">
        <v>1866</v>
      </c>
      <c r="F30" s="19"/>
      <c r="G30" s="4">
        <f>IF(F30&gt;0,F30,IF(PrefetchDBSummary!$C$10="B",AJ30,8))</f>
        <v>8</v>
      </c>
      <c r="H30" s="4">
        <f>PrefetchDBSummary!$C$22</f>
        <v>0</v>
      </c>
      <c r="I30" s="4">
        <f>PrefetchDBSummary!$D$22</f>
        <v>0</v>
      </c>
      <c r="J30" s="5">
        <f t="shared" si="1"/>
        <v>0</v>
      </c>
      <c r="K30" s="4">
        <f t="shared" si="2"/>
        <v>0</v>
      </c>
      <c r="L30" s="4">
        <f t="shared" si="3"/>
        <v>0</v>
      </c>
      <c r="M30" s="5">
        <f t="shared" si="4"/>
        <v>0</v>
      </c>
      <c r="N30" s="17">
        <f t="shared" si="5"/>
        <v>0</v>
      </c>
      <c r="O30" s="32">
        <f t="shared" si="6"/>
        <v>0</v>
      </c>
      <c r="AG30" t="s">
        <v>1787</v>
      </c>
      <c r="AH30" t="s">
        <v>583</v>
      </c>
      <c r="AI30">
        <v>1</v>
      </c>
      <c r="AJ30">
        <v>32</v>
      </c>
      <c r="AK30">
        <v>12</v>
      </c>
      <c r="AL30">
        <v>9</v>
      </c>
      <c r="AM30">
        <v>150</v>
      </c>
      <c r="AN30">
        <v>525</v>
      </c>
      <c r="AO30">
        <v>64</v>
      </c>
      <c r="AQ30" s="27">
        <f t="shared" si="7"/>
        <v>1016.4</v>
      </c>
      <c r="AR30" s="15"/>
    </row>
    <row r="31" spans="1:44" ht="12.75">
      <c r="A31" s="39" t="s">
        <v>1771</v>
      </c>
      <c r="B31" s="7" t="s">
        <v>2042</v>
      </c>
      <c r="C31" t="s">
        <v>1779</v>
      </c>
      <c r="D31" s="19">
        <v>1</v>
      </c>
      <c r="E31" s="7" t="s">
        <v>721</v>
      </c>
      <c r="F31" s="19"/>
      <c r="G31" s="4">
        <f>IF(F31&gt;0,F31,IF(PrefetchDBSummary!$C$10="B",AJ31,8))</f>
        <v>8</v>
      </c>
      <c r="H31" s="4">
        <f>PrefetchDBSummary!$C$22</f>
        <v>0</v>
      </c>
      <c r="I31" s="4">
        <f>PrefetchDBSummary!$D$22</f>
        <v>0</v>
      </c>
      <c r="J31" s="5">
        <f t="shared" si="1"/>
        <v>0</v>
      </c>
      <c r="K31" s="4">
        <f t="shared" si="2"/>
        <v>0</v>
      </c>
      <c r="L31" s="4">
        <f t="shared" si="3"/>
        <v>0</v>
      </c>
      <c r="M31" s="5">
        <f t="shared" si="4"/>
        <v>0</v>
      </c>
      <c r="N31" s="17">
        <f t="shared" si="5"/>
        <v>0</v>
      </c>
      <c r="O31" s="32">
        <f t="shared" si="6"/>
        <v>0</v>
      </c>
      <c r="AG31" t="s">
        <v>1788</v>
      </c>
      <c r="AH31" t="s">
        <v>582</v>
      </c>
      <c r="AI31">
        <v>1</v>
      </c>
      <c r="AJ31">
        <v>32</v>
      </c>
      <c r="AK31">
        <v>25</v>
      </c>
      <c r="AL31">
        <v>14</v>
      </c>
      <c r="AM31">
        <v>317</v>
      </c>
      <c r="AN31">
        <v>995</v>
      </c>
      <c r="AO31">
        <v>64</v>
      </c>
      <c r="AQ31" s="27">
        <f t="shared" si="7"/>
        <v>1026.6</v>
      </c>
      <c r="AR31" s="15"/>
    </row>
    <row r="32" spans="1:44" ht="12.75">
      <c r="A32" s="39" t="s">
        <v>1771</v>
      </c>
      <c r="B32" s="7" t="s">
        <v>2042</v>
      </c>
      <c r="C32" t="s">
        <v>1780</v>
      </c>
      <c r="D32" s="19">
        <v>1</v>
      </c>
      <c r="E32" s="7" t="s">
        <v>721</v>
      </c>
      <c r="F32" s="19"/>
      <c r="G32" s="4">
        <f>IF(F32&gt;0,F32,IF(PrefetchDBSummary!$C$10="B",AJ32,8))</f>
        <v>8</v>
      </c>
      <c r="H32" s="4">
        <f>PrefetchDBSummary!$C$22</f>
        <v>0</v>
      </c>
      <c r="I32" s="4">
        <f>PrefetchDBSummary!$D$22</f>
        <v>0</v>
      </c>
      <c r="J32" s="5">
        <f t="shared" si="1"/>
        <v>0</v>
      </c>
      <c r="K32" s="4">
        <f t="shared" si="2"/>
        <v>0</v>
      </c>
      <c r="L32" s="4">
        <f t="shared" si="3"/>
        <v>0</v>
      </c>
      <c r="M32" s="5">
        <f t="shared" si="4"/>
        <v>0</v>
      </c>
      <c r="N32" s="17">
        <f t="shared" si="5"/>
        <v>0</v>
      </c>
      <c r="O32" s="32">
        <f t="shared" si="6"/>
        <v>0</v>
      </c>
      <c r="AG32" t="s">
        <v>1789</v>
      </c>
      <c r="AH32" t="s">
        <v>582</v>
      </c>
      <c r="AI32">
        <v>1440</v>
      </c>
      <c r="AJ32">
        <v>8</v>
      </c>
      <c r="AK32">
        <v>3</v>
      </c>
      <c r="AL32">
        <v>0</v>
      </c>
      <c r="AM32">
        <v>79</v>
      </c>
      <c r="AN32">
        <v>79</v>
      </c>
      <c r="AO32">
        <v>64</v>
      </c>
      <c r="AQ32" s="27">
        <f t="shared" si="7"/>
        <v>370.6</v>
      </c>
      <c r="AR32" s="15"/>
    </row>
    <row r="33" spans="1:44" ht="12.75">
      <c r="A33" s="39" t="s">
        <v>2172</v>
      </c>
      <c r="B33" s="7" t="s">
        <v>2173</v>
      </c>
      <c r="C33" t="s">
        <v>2174</v>
      </c>
      <c r="D33" s="60">
        <f>PrefetchDBSummary!$E$13</f>
        <v>100</v>
      </c>
      <c r="E33" s="12" t="s">
        <v>2230</v>
      </c>
      <c r="F33" s="19"/>
      <c r="G33" s="4">
        <f>IF(F33&gt;0,F33,IF(PrefetchDBSummary!$C$10="B",AJ33,8))</f>
        <v>8</v>
      </c>
      <c r="H33" s="4">
        <f>PrefetchDBSummary!$C$13</f>
        <v>0</v>
      </c>
      <c r="I33" s="4">
        <f>PrefetchDBSummary!$D$22</f>
        <v>0</v>
      </c>
      <c r="J33" s="5">
        <f aca="true" t="shared" si="8" ref="J33:J38">IF(H33&gt;0,(AQ33)/(AI33*60),IF(I33&gt;0,(AQ33)/(5*60),0))</f>
        <v>0</v>
      </c>
      <c r="K33" s="4">
        <f aca="true" t="shared" si="9" ref="K33:K38">IF(H33&gt;0,D33/AI33,IF(I33&gt;0,D33/5,0))</f>
        <v>0</v>
      </c>
      <c r="L33" s="4">
        <f aca="true" t="shared" si="10" ref="L33:L38">H33*D33/AI33+I33*D33/5</f>
        <v>0</v>
      </c>
      <c r="M33" s="5">
        <f aca="true" t="shared" si="11" ref="M33:M38">L33*AM33*(1-IF(AP33&gt;0,AP33,$AS$2)*$AS$3)/1024</f>
        <v>0</v>
      </c>
      <c r="N33" s="17">
        <f aca="true" t="shared" si="12" ref="N33:N38">L33*60*24*IF(G33&gt;0,G33,(G33))</f>
        <v>0</v>
      </c>
      <c r="O33" s="32">
        <f aca="true" t="shared" si="13" ref="O33:O38">N33*($AM33-$AO33*IF($AP33&gt;0,1-$AP33,1-$AS$2))*(1-$AS$3)/1024/1024</f>
        <v>0</v>
      </c>
      <c r="AG33" t="s">
        <v>2180</v>
      </c>
      <c r="AH33" t="s">
        <v>583</v>
      </c>
      <c r="AI33">
        <v>1</v>
      </c>
      <c r="AJ33">
        <v>8</v>
      </c>
      <c r="AK33">
        <v>8</v>
      </c>
      <c r="AL33">
        <v>0</v>
      </c>
      <c r="AM33">
        <v>488</v>
      </c>
      <c r="AN33">
        <v>488</v>
      </c>
      <c r="AO33">
        <v>480</v>
      </c>
      <c r="AQ33" s="27">
        <f aca="true" t="shared" si="14" ref="AQ33:AQ38">250+19*AK33+D33*(23+(AM33-AO33)+AO33*(1-IF(AP33&gt;0,AP33,$AS$2)))</f>
        <v>22702</v>
      </c>
      <c r="AR33" s="15"/>
    </row>
    <row r="34" spans="1:44" ht="12.75">
      <c r="A34" s="39" t="s">
        <v>2172</v>
      </c>
      <c r="B34" s="7" t="s">
        <v>2173</v>
      </c>
      <c r="C34" t="s">
        <v>2175</v>
      </c>
      <c r="D34" s="60">
        <f>PrefetchDBSummary!$E$13</f>
        <v>100</v>
      </c>
      <c r="E34" s="12" t="s">
        <v>2233</v>
      </c>
      <c r="F34" s="19"/>
      <c r="G34" s="4">
        <f>IF(F34&gt;0,F34,IF(PrefetchDBSummary!$C$10="B",AJ34,8))</f>
        <v>8</v>
      </c>
      <c r="H34" s="4">
        <f>PrefetchDBSummary!$C$13</f>
        <v>0</v>
      </c>
      <c r="I34" s="4">
        <f>PrefetchDBSummary!$D$22</f>
        <v>0</v>
      </c>
      <c r="J34" s="5">
        <f t="shared" si="8"/>
        <v>0</v>
      </c>
      <c r="K34" s="4">
        <f t="shared" si="9"/>
        <v>0</v>
      </c>
      <c r="L34" s="4">
        <f t="shared" si="10"/>
        <v>0</v>
      </c>
      <c r="M34" s="5">
        <f t="shared" si="11"/>
        <v>0</v>
      </c>
      <c r="N34" s="17">
        <f t="shared" si="12"/>
        <v>0</v>
      </c>
      <c r="O34" s="32">
        <f t="shared" si="13"/>
        <v>0</v>
      </c>
      <c r="AG34" t="s">
        <v>2181</v>
      </c>
      <c r="AH34" t="s">
        <v>583</v>
      </c>
      <c r="AI34">
        <v>1</v>
      </c>
      <c r="AJ34">
        <v>8</v>
      </c>
      <c r="AK34">
        <v>3</v>
      </c>
      <c r="AL34">
        <v>0</v>
      </c>
      <c r="AM34">
        <v>163</v>
      </c>
      <c r="AN34">
        <v>163</v>
      </c>
      <c r="AO34">
        <v>160</v>
      </c>
      <c r="AQ34" s="27">
        <f t="shared" si="14"/>
        <v>9307</v>
      </c>
      <c r="AR34" s="15"/>
    </row>
    <row r="35" spans="1:44" ht="12.75">
      <c r="A35" s="39" t="s">
        <v>2172</v>
      </c>
      <c r="B35" s="7" t="s">
        <v>2173</v>
      </c>
      <c r="C35" t="s">
        <v>2176</v>
      </c>
      <c r="D35" s="60">
        <f>PrefetchDBSummary!$E$13*2</f>
        <v>200</v>
      </c>
      <c r="E35" s="12" t="s">
        <v>2231</v>
      </c>
      <c r="F35" s="19"/>
      <c r="G35" s="4">
        <f>IF(F35&gt;0,F35,IF(PrefetchDBSummary!$C$10="B",AJ35,8))</f>
        <v>8</v>
      </c>
      <c r="H35" s="4">
        <f>PrefetchDBSummary!$C$13</f>
        <v>0</v>
      </c>
      <c r="I35" s="4">
        <f>PrefetchDBSummary!$D$22</f>
        <v>0</v>
      </c>
      <c r="J35" s="5">
        <f t="shared" si="8"/>
        <v>0</v>
      </c>
      <c r="K35" s="4">
        <f t="shared" si="9"/>
        <v>0</v>
      </c>
      <c r="L35" s="4">
        <f t="shared" si="10"/>
        <v>0</v>
      </c>
      <c r="M35" s="5">
        <f t="shared" si="11"/>
        <v>0</v>
      </c>
      <c r="N35" s="17">
        <f t="shared" si="12"/>
        <v>0</v>
      </c>
      <c r="O35" s="32">
        <f t="shared" si="13"/>
        <v>0</v>
      </c>
      <c r="AG35" t="s">
        <v>2182</v>
      </c>
      <c r="AH35" t="s">
        <v>583</v>
      </c>
      <c r="AI35">
        <v>1</v>
      </c>
      <c r="AJ35">
        <v>8</v>
      </c>
      <c r="AK35">
        <v>3</v>
      </c>
      <c r="AL35">
        <v>0</v>
      </c>
      <c r="AM35">
        <v>163</v>
      </c>
      <c r="AN35">
        <v>163</v>
      </c>
      <c r="AO35">
        <v>160</v>
      </c>
      <c r="AQ35" s="27">
        <f t="shared" si="14"/>
        <v>18307</v>
      </c>
      <c r="AR35" s="15"/>
    </row>
    <row r="36" spans="1:44" ht="12.75">
      <c r="A36" s="39" t="s">
        <v>2172</v>
      </c>
      <c r="B36" s="7" t="s">
        <v>2173</v>
      </c>
      <c r="C36" t="s">
        <v>2177</v>
      </c>
      <c r="D36" s="60">
        <f>PrefetchDBSummary!$E$13</f>
        <v>100</v>
      </c>
      <c r="E36" s="12" t="s">
        <v>2230</v>
      </c>
      <c r="F36" s="19"/>
      <c r="G36" s="4">
        <f>IF(F36&gt;0,F36,IF(PrefetchDBSummary!$C$10="B",AJ36,8))</f>
        <v>8</v>
      </c>
      <c r="H36" s="4">
        <f>PrefetchDBSummary!$C$13</f>
        <v>0</v>
      </c>
      <c r="I36" s="4">
        <f>PrefetchDBSummary!$D$22</f>
        <v>0</v>
      </c>
      <c r="J36" s="5">
        <f t="shared" si="8"/>
        <v>0</v>
      </c>
      <c r="K36" s="4">
        <f t="shared" si="9"/>
        <v>0</v>
      </c>
      <c r="L36" s="4">
        <f t="shared" si="10"/>
        <v>0</v>
      </c>
      <c r="M36" s="5">
        <f t="shared" si="11"/>
        <v>0</v>
      </c>
      <c r="N36" s="17">
        <f t="shared" si="12"/>
        <v>0</v>
      </c>
      <c r="O36" s="32">
        <f t="shared" si="13"/>
        <v>0</v>
      </c>
      <c r="AG36" t="s">
        <v>2183</v>
      </c>
      <c r="AH36" t="s">
        <v>583</v>
      </c>
      <c r="AI36">
        <v>1</v>
      </c>
      <c r="AJ36">
        <v>32</v>
      </c>
      <c r="AK36">
        <v>14</v>
      </c>
      <c r="AL36">
        <v>9</v>
      </c>
      <c r="AM36">
        <v>350</v>
      </c>
      <c r="AN36">
        <v>809</v>
      </c>
      <c r="AO36">
        <v>160</v>
      </c>
      <c r="AQ36" s="27">
        <f t="shared" si="14"/>
        <v>28216</v>
      </c>
      <c r="AR36" s="15"/>
    </row>
    <row r="37" spans="1:44" ht="12.75">
      <c r="A37" s="39" t="s">
        <v>2172</v>
      </c>
      <c r="B37" s="7" t="s">
        <v>2173</v>
      </c>
      <c r="C37" t="s">
        <v>2178</v>
      </c>
      <c r="D37" s="60">
        <f>PrefetchDBSummary!$E$13*3</f>
        <v>300</v>
      </c>
      <c r="E37" s="12" t="s">
        <v>2232</v>
      </c>
      <c r="F37" s="19"/>
      <c r="G37" s="4">
        <f>IF(F37&gt;0,F37,IF(PrefetchDBSummary!$C$10="B",AJ37,8))</f>
        <v>8</v>
      </c>
      <c r="H37" s="4">
        <f>PrefetchDBSummary!$C$13</f>
        <v>0</v>
      </c>
      <c r="I37" s="4">
        <f>PrefetchDBSummary!$D$22</f>
        <v>0</v>
      </c>
      <c r="J37" s="5">
        <f t="shared" si="8"/>
        <v>0</v>
      </c>
      <c r="K37" s="4">
        <f t="shared" si="9"/>
        <v>0</v>
      </c>
      <c r="L37" s="4">
        <f t="shared" si="10"/>
        <v>0</v>
      </c>
      <c r="M37" s="5">
        <f t="shared" si="11"/>
        <v>0</v>
      </c>
      <c r="N37" s="17">
        <f t="shared" si="12"/>
        <v>0</v>
      </c>
      <c r="O37" s="32">
        <f t="shared" si="13"/>
        <v>0</v>
      </c>
      <c r="AG37" t="s">
        <v>2184</v>
      </c>
      <c r="AH37" t="s">
        <v>583</v>
      </c>
      <c r="AI37">
        <v>1</v>
      </c>
      <c r="AJ37">
        <v>8</v>
      </c>
      <c r="AK37">
        <v>3</v>
      </c>
      <c r="AL37">
        <v>0</v>
      </c>
      <c r="AM37">
        <v>611</v>
      </c>
      <c r="AN37">
        <v>611</v>
      </c>
      <c r="AO37">
        <v>608</v>
      </c>
      <c r="AQ37" s="27">
        <f t="shared" si="14"/>
        <v>81067.00000000001</v>
      </c>
      <c r="AR37" s="15"/>
    </row>
    <row r="38" spans="1:44" ht="12.75">
      <c r="A38" s="39" t="s">
        <v>2172</v>
      </c>
      <c r="B38" s="7" t="s">
        <v>2173</v>
      </c>
      <c r="C38" t="s">
        <v>2179</v>
      </c>
      <c r="D38" s="19">
        <v>1</v>
      </c>
      <c r="E38" s="7" t="s">
        <v>721</v>
      </c>
      <c r="F38" s="19"/>
      <c r="G38" s="4">
        <f>IF(F38&gt;0,F38,IF(PrefetchDBSummary!$C$10="B",AJ38,8))</f>
        <v>8</v>
      </c>
      <c r="H38" s="4">
        <f>PrefetchDBSummary!$C$13</f>
        <v>0</v>
      </c>
      <c r="I38" s="4">
        <f>PrefetchDBSummary!$D$22</f>
        <v>0</v>
      </c>
      <c r="J38" s="5">
        <f t="shared" si="8"/>
        <v>0</v>
      </c>
      <c r="K38" s="4">
        <f t="shared" si="9"/>
        <v>0</v>
      </c>
      <c r="L38" s="4">
        <f t="shared" si="10"/>
        <v>0</v>
      </c>
      <c r="M38" s="5">
        <f t="shared" si="11"/>
        <v>0</v>
      </c>
      <c r="N38" s="17">
        <f t="shared" si="12"/>
        <v>0</v>
      </c>
      <c r="O38" s="32">
        <f t="shared" si="13"/>
        <v>0</v>
      </c>
      <c r="AG38" t="s">
        <v>2185</v>
      </c>
      <c r="AH38" t="s">
        <v>582</v>
      </c>
      <c r="AI38">
        <v>1</v>
      </c>
      <c r="AJ38">
        <v>8</v>
      </c>
      <c r="AK38">
        <v>12</v>
      </c>
      <c r="AL38">
        <v>5</v>
      </c>
      <c r="AM38">
        <v>380</v>
      </c>
      <c r="AN38">
        <v>623</v>
      </c>
      <c r="AO38">
        <v>288</v>
      </c>
      <c r="AQ38" s="27">
        <f t="shared" si="14"/>
        <v>708.2</v>
      </c>
      <c r="AR38" s="15"/>
    </row>
    <row r="39" spans="1:43" ht="12.75">
      <c r="A39" s="26" t="s">
        <v>1333</v>
      </c>
      <c r="B39" s="18" t="s">
        <v>1334</v>
      </c>
      <c r="C39" t="s">
        <v>1335</v>
      </c>
      <c r="D39" s="19">
        <v>10</v>
      </c>
      <c r="E39" s="7" t="s">
        <v>1967</v>
      </c>
      <c r="F39" s="19"/>
      <c r="G39" s="4">
        <f>IF(F39&gt;0,F39,IF(PrefetchDBSummary!$C$10="B",AJ39,8))</f>
        <v>8</v>
      </c>
      <c r="H39" s="4">
        <f>PrefetchDBSummary!$C$12</f>
        <v>0</v>
      </c>
      <c r="I39" s="4">
        <f>PrefetchDBSummary!$D$29</f>
        <v>0</v>
      </c>
      <c r="J39" s="5">
        <f t="shared" si="1"/>
        <v>0</v>
      </c>
      <c r="K39" s="4">
        <f t="shared" si="2"/>
        <v>0</v>
      </c>
      <c r="L39" s="4">
        <f t="shared" si="3"/>
        <v>0</v>
      </c>
      <c r="M39" s="5">
        <f t="shared" si="4"/>
        <v>0</v>
      </c>
      <c r="N39" s="17">
        <f t="shared" si="5"/>
        <v>0</v>
      </c>
      <c r="O39" s="32">
        <f t="shared" si="6"/>
        <v>0</v>
      </c>
      <c r="AG39" t="s">
        <v>1344</v>
      </c>
      <c r="AH39" t="s">
        <v>583</v>
      </c>
      <c r="AI39">
        <v>1</v>
      </c>
      <c r="AJ39">
        <v>8</v>
      </c>
      <c r="AK39">
        <v>4</v>
      </c>
      <c r="AL39">
        <v>1</v>
      </c>
      <c r="AM39">
        <v>1140</v>
      </c>
      <c r="AN39">
        <v>1191</v>
      </c>
      <c r="AO39">
        <v>1120</v>
      </c>
      <c r="AQ39" s="27">
        <f t="shared" si="7"/>
        <v>5236</v>
      </c>
    </row>
    <row r="40" spans="1:43" ht="12.75">
      <c r="A40" s="26" t="s">
        <v>1333</v>
      </c>
      <c r="B40" s="18" t="s">
        <v>1334</v>
      </c>
      <c r="C40" t="s">
        <v>1336</v>
      </c>
      <c r="D40" s="60">
        <f>PrefetchDBSummary!$E$12</f>
        <v>100</v>
      </c>
      <c r="E40" s="7" t="s">
        <v>1968</v>
      </c>
      <c r="F40" s="19"/>
      <c r="G40" s="4">
        <f>IF(F40&gt;0,F40,IF(PrefetchDBSummary!$C$10="B",AJ40,8))</f>
        <v>8</v>
      </c>
      <c r="H40" s="4">
        <f>PrefetchDBSummary!$C$12</f>
        <v>0</v>
      </c>
      <c r="I40" s="4">
        <f>PrefetchDBSummary!$D$29</f>
        <v>0</v>
      </c>
      <c r="J40" s="5">
        <f t="shared" si="1"/>
        <v>0</v>
      </c>
      <c r="K40" s="4">
        <f t="shared" si="2"/>
        <v>0</v>
      </c>
      <c r="L40" s="4">
        <f t="shared" si="3"/>
        <v>0</v>
      </c>
      <c r="M40" s="5">
        <f t="shared" si="4"/>
        <v>0</v>
      </c>
      <c r="N40" s="17">
        <f t="shared" si="5"/>
        <v>0</v>
      </c>
      <c r="O40" s="32">
        <f t="shared" si="6"/>
        <v>0</v>
      </c>
      <c r="AG40" t="s">
        <v>1345</v>
      </c>
      <c r="AH40" t="s">
        <v>583</v>
      </c>
      <c r="AI40">
        <v>1</v>
      </c>
      <c r="AJ40">
        <v>8</v>
      </c>
      <c r="AK40">
        <v>6</v>
      </c>
      <c r="AL40">
        <v>3</v>
      </c>
      <c r="AM40">
        <v>134</v>
      </c>
      <c r="AN40">
        <v>287</v>
      </c>
      <c r="AO40">
        <v>64</v>
      </c>
      <c r="AQ40" s="27">
        <f t="shared" si="7"/>
        <v>12224</v>
      </c>
    </row>
    <row r="41" spans="1:43" ht="12.75">
      <c r="A41" s="26" t="s">
        <v>1333</v>
      </c>
      <c r="B41" s="18" t="s">
        <v>1334</v>
      </c>
      <c r="C41" t="s">
        <v>1337</v>
      </c>
      <c r="D41" s="19">
        <v>1</v>
      </c>
      <c r="E41" s="7" t="s">
        <v>1857</v>
      </c>
      <c r="F41" s="19"/>
      <c r="G41" s="4">
        <f>IF(F41&gt;0,F41,IF(PrefetchDBSummary!$C$10="B",AJ41,8))</f>
        <v>8</v>
      </c>
      <c r="H41" s="4">
        <f>PrefetchDBSummary!$C$12</f>
        <v>0</v>
      </c>
      <c r="I41" s="4">
        <f>PrefetchDBSummary!$D$29</f>
        <v>0</v>
      </c>
      <c r="J41" s="5">
        <f t="shared" si="1"/>
        <v>0</v>
      </c>
      <c r="K41" s="4">
        <f t="shared" si="2"/>
        <v>0</v>
      </c>
      <c r="L41" s="4">
        <f t="shared" si="3"/>
        <v>0</v>
      </c>
      <c r="M41" s="5">
        <f t="shared" si="4"/>
        <v>0</v>
      </c>
      <c r="N41" s="17">
        <f t="shared" si="5"/>
        <v>0</v>
      </c>
      <c r="O41" s="32">
        <f t="shared" si="6"/>
        <v>0</v>
      </c>
      <c r="AG41" t="s">
        <v>1346</v>
      </c>
      <c r="AH41" t="s">
        <v>582</v>
      </c>
      <c r="AI41">
        <v>1</v>
      </c>
      <c r="AJ41">
        <v>8</v>
      </c>
      <c r="AK41">
        <v>9</v>
      </c>
      <c r="AL41">
        <v>7</v>
      </c>
      <c r="AM41">
        <v>157</v>
      </c>
      <c r="AN41">
        <v>502</v>
      </c>
      <c r="AO41">
        <v>32</v>
      </c>
      <c r="AQ41" s="27">
        <f t="shared" si="7"/>
        <v>581.8</v>
      </c>
    </row>
    <row r="42" spans="1:43" ht="12.75">
      <c r="A42" s="26" t="s">
        <v>1333</v>
      </c>
      <c r="B42" s="18" t="s">
        <v>1334</v>
      </c>
      <c r="C42" t="s">
        <v>1338</v>
      </c>
      <c r="D42" s="60">
        <f>PrefetchDBSummary!$E$12</f>
        <v>100</v>
      </c>
      <c r="E42" s="7" t="s">
        <v>1968</v>
      </c>
      <c r="F42" s="19"/>
      <c r="G42" s="4">
        <f>IF(F42&gt;0,F42,IF(PrefetchDBSummary!$C$10="B",AJ42,8))</f>
        <v>8</v>
      </c>
      <c r="H42" s="4">
        <f>PrefetchDBSummary!$C$12</f>
        <v>0</v>
      </c>
      <c r="I42" s="4">
        <f>PrefetchDBSummary!$D$29</f>
        <v>0</v>
      </c>
      <c r="J42" s="5">
        <f t="shared" si="1"/>
        <v>0</v>
      </c>
      <c r="K42" s="4">
        <f t="shared" si="2"/>
        <v>0</v>
      </c>
      <c r="L42" s="4">
        <f t="shared" si="3"/>
        <v>0</v>
      </c>
      <c r="M42" s="5">
        <f t="shared" si="4"/>
        <v>0</v>
      </c>
      <c r="N42" s="17">
        <f t="shared" si="5"/>
        <v>0</v>
      </c>
      <c r="O42" s="32">
        <f t="shared" si="6"/>
        <v>0</v>
      </c>
      <c r="AG42" t="s">
        <v>1347</v>
      </c>
      <c r="AH42" t="s">
        <v>583</v>
      </c>
      <c r="AI42">
        <v>1</v>
      </c>
      <c r="AJ42">
        <v>8</v>
      </c>
      <c r="AK42">
        <v>19</v>
      </c>
      <c r="AL42">
        <v>16</v>
      </c>
      <c r="AM42">
        <v>355</v>
      </c>
      <c r="AN42">
        <v>1171</v>
      </c>
      <c r="AO42">
        <v>64</v>
      </c>
      <c r="AQ42" s="27">
        <f t="shared" si="7"/>
        <v>34571</v>
      </c>
    </row>
    <row r="43" spans="1:43" ht="12.75">
      <c r="A43" s="26" t="s">
        <v>1333</v>
      </c>
      <c r="B43" s="18" t="s">
        <v>1334</v>
      </c>
      <c r="C43" t="s">
        <v>1339</v>
      </c>
      <c r="D43" s="60">
        <f>PrefetchDBSummary!$E$12</f>
        <v>100</v>
      </c>
      <c r="E43" s="7" t="s">
        <v>1968</v>
      </c>
      <c r="F43" s="19"/>
      <c r="G43" s="4">
        <f>IF(F43&gt;0,F43,IF(PrefetchDBSummary!$C$10="B",AJ43,8))</f>
        <v>8</v>
      </c>
      <c r="H43" s="4">
        <f>PrefetchDBSummary!$C$12</f>
        <v>0</v>
      </c>
      <c r="I43" s="4">
        <f>PrefetchDBSummary!$D$29</f>
        <v>0</v>
      </c>
      <c r="J43" s="5">
        <f t="shared" si="1"/>
        <v>0</v>
      </c>
      <c r="K43" s="4">
        <f t="shared" si="2"/>
        <v>0</v>
      </c>
      <c r="L43" s="4">
        <f t="shared" si="3"/>
        <v>0</v>
      </c>
      <c r="M43" s="5">
        <f t="shared" si="4"/>
        <v>0</v>
      </c>
      <c r="N43" s="17">
        <f t="shared" si="5"/>
        <v>0</v>
      </c>
      <c r="O43" s="32">
        <f t="shared" si="6"/>
        <v>0</v>
      </c>
      <c r="AG43" t="s">
        <v>1348</v>
      </c>
      <c r="AH43" t="s">
        <v>583</v>
      </c>
      <c r="AI43">
        <v>1</v>
      </c>
      <c r="AJ43">
        <v>8</v>
      </c>
      <c r="AK43">
        <v>5</v>
      </c>
      <c r="AL43">
        <v>1</v>
      </c>
      <c r="AM43">
        <v>133</v>
      </c>
      <c r="AN43">
        <v>184</v>
      </c>
      <c r="AO43">
        <v>96</v>
      </c>
      <c r="AQ43" s="27">
        <f t="shared" si="7"/>
        <v>10185</v>
      </c>
    </row>
    <row r="44" spans="1:43" ht="12.75">
      <c r="A44" s="26" t="s">
        <v>1333</v>
      </c>
      <c r="B44" s="18" t="s">
        <v>1334</v>
      </c>
      <c r="C44" t="s">
        <v>1340</v>
      </c>
      <c r="D44" s="60">
        <f>PrefetchDBSummary!$E$12</f>
        <v>100</v>
      </c>
      <c r="E44" s="7" t="s">
        <v>1968</v>
      </c>
      <c r="F44" s="19"/>
      <c r="G44" s="4">
        <f>IF(F44&gt;0,F44,IF(PrefetchDBSummary!$C$10="B",AJ44,8))</f>
        <v>8</v>
      </c>
      <c r="H44" s="4">
        <f>PrefetchDBSummary!$C$12</f>
        <v>0</v>
      </c>
      <c r="I44" s="4">
        <f>PrefetchDBSummary!$D$29</f>
        <v>0</v>
      </c>
      <c r="J44" s="5">
        <f t="shared" si="1"/>
        <v>0</v>
      </c>
      <c r="K44" s="4">
        <f t="shared" si="2"/>
        <v>0</v>
      </c>
      <c r="L44" s="4">
        <f t="shared" si="3"/>
        <v>0</v>
      </c>
      <c r="M44" s="5">
        <f t="shared" si="4"/>
        <v>0</v>
      </c>
      <c r="N44" s="17">
        <f t="shared" si="5"/>
        <v>0</v>
      </c>
      <c r="O44" s="32">
        <f t="shared" si="6"/>
        <v>0</v>
      </c>
      <c r="AG44" t="s">
        <v>1349</v>
      </c>
      <c r="AH44" t="s">
        <v>583</v>
      </c>
      <c r="AI44">
        <v>1</v>
      </c>
      <c r="AJ44">
        <v>8</v>
      </c>
      <c r="AK44">
        <v>12</v>
      </c>
      <c r="AL44">
        <v>9</v>
      </c>
      <c r="AM44">
        <v>236</v>
      </c>
      <c r="AN44">
        <v>695</v>
      </c>
      <c r="AO44">
        <v>64</v>
      </c>
      <c r="AQ44" s="27">
        <f t="shared" si="7"/>
        <v>22538</v>
      </c>
    </row>
    <row r="45" spans="1:43" ht="12.75">
      <c r="A45" s="26" t="s">
        <v>1333</v>
      </c>
      <c r="B45" s="18" t="s">
        <v>1334</v>
      </c>
      <c r="C45" t="s">
        <v>1341</v>
      </c>
      <c r="D45" s="60">
        <f>PrefetchDBSummary!$E$12</f>
        <v>100</v>
      </c>
      <c r="E45" s="7" t="s">
        <v>1968</v>
      </c>
      <c r="F45" s="19"/>
      <c r="G45" s="4">
        <f>IF(F45&gt;0,F45,IF(PrefetchDBSummary!$C$10="B",AJ45,8))</f>
        <v>8</v>
      </c>
      <c r="H45" s="4">
        <f>PrefetchDBSummary!$C$12</f>
        <v>0</v>
      </c>
      <c r="I45" s="4">
        <f>PrefetchDBSummary!$D$29</f>
        <v>0</v>
      </c>
      <c r="J45" s="5">
        <f t="shared" si="1"/>
        <v>0</v>
      </c>
      <c r="K45" s="4">
        <f t="shared" si="2"/>
        <v>0</v>
      </c>
      <c r="L45" s="4">
        <f t="shared" si="3"/>
        <v>0</v>
      </c>
      <c r="M45" s="5">
        <f t="shared" si="4"/>
        <v>0</v>
      </c>
      <c r="N45" s="17">
        <f t="shared" si="5"/>
        <v>0</v>
      </c>
      <c r="O45" s="32">
        <f t="shared" si="6"/>
        <v>0</v>
      </c>
      <c r="AG45" t="s">
        <v>1350</v>
      </c>
      <c r="AH45" t="s">
        <v>583</v>
      </c>
      <c r="AI45">
        <v>1</v>
      </c>
      <c r="AJ45">
        <v>8</v>
      </c>
      <c r="AK45">
        <v>15</v>
      </c>
      <c r="AL45">
        <v>2</v>
      </c>
      <c r="AM45">
        <v>3481</v>
      </c>
      <c r="AN45">
        <v>3559</v>
      </c>
      <c r="AO45">
        <v>3458</v>
      </c>
      <c r="AQ45" s="27">
        <f t="shared" si="7"/>
        <v>143455</v>
      </c>
    </row>
    <row r="46" spans="1:43" ht="12.75">
      <c r="A46" s="26" t="s">
        <v>1333</v>
      </c>
      <c r="B46" s="18" t="s">
        <v>1334</v>
      </c>
      <c r="C46" t="s">
        <v>1342</v>
      </c>
      <c r="D46" s="60">
        <f>PrefetchDBSummary!$E$12*10</f>
        <v>1000</v>
      </c>
      <c r="E46" s="7" t="s">
        <v>1969</v>
      </c>
      <c r="F46" s="19"/>
      <c r="G46" s="4">
        <f>IF(F46&gt;0,F46,IF(PrefetchDBSummary!$C$10="B",AJ46,8))</f>
        <v>8</v>
      </c>
      <c r="H46" s="4">
        <f>PrefetchDBSummary!$C$12</f>
        <v>0</v>
      </c>
      <c r="I46" s="4">
        <f>PrefetchDBSummary!$D$29</f>
        <v>0</v>
      </c>
      <c r="J46" s="5">
        <f t="shared" si="1"/>
        <v>0</v>
      </c>
      <c r="K46" s="4">
        <f t="shared" si="2"/>
        <v>0</v>
      </c>
      <c r="L46" s="4">
        <f t="shared" si="3"/>
        <v>0</v>
      </c>
      <c r="M46" s="5">
        <f t="shared" si="4"/>
        <v>0</v>
      </c>
      <c r="N46" s="17">
        <f t="shared" si="5"/>
        <v>0</v>
      </c>
      <c r="O46" s="32">
        <f t="shared" si="6"/>
        <v>0</v>
      </c>
      <c r="AG46" t="s">
        <v>1351</v>
      </c>
      <c r="AH46" t="s">
        <v>583</v>
      </c>
      <c r="AI46">
        <v>1</v>
      </c>
      <c r="AJ46">
        <v>8</v>
      </c>
      <c r="AK46">
        <v>3</v>
      </c>
      <c r="AL46">
        <v>0</v>
      </c>
      <c r="AM46">
        <v>131</v>
      </c>
      <c r="AN46">
        <v>131</v>
      </c>
      <c r="AO46">
        <v>128</v>
      </c>
      <c r="AQ46" s="27">
        <f t="shared" si="7"/>
        <v>77507</v>
      </c>
    </row>
    <row r="47" spans="1:45" ht="12.75">
      <c r="A47" s="26" t="s">
        <v>1333</v>
      </c>
      <c r="B47" s="18" t="s">
        <v>1334</v>
      </c>
      <c r="C47" t="s">
        <v>1343</v>
      </c>
      <c r="D47" s="60">
        <f>PrefetchDBSummary!$E$12</f>
        <v>100</v>
      </c>
      <c r="E47" s="7" t="s">
        <v>1970</v>
      </c>
      <c r="F47" s="19"/>
      <c r="G47" s="4">
        <f>IF(F47&gt;0,F47,IF(PrefetchDBSummary!$C$10="B",AJ47,8))</f>
        <v>8</v>
      </c>
      <c r="H47" s="4">
        <f>PrefetchDBSummary!$C$12</f>
        <v>0</v>
      </c>
      <c r="I47" s="4">
        <f>PrefetchDBSummary!$D$29</f>
        <v>0</v>
      </c>
      <c r="J47" s="5">
        <f t="shared" si="1"/>
        <v>0</v>
      </c>
      <c r="K47" s="4">
        <f t="shared" si="2"/>
        <v>0</v>
      </c>
      <c r="L47" s="4">
        <f t="shared" si="3"/>
        <v>0</v>
      </c>
      <c r="M47" s="5">
        <f t="shared" si="4"/>
        <v>0</v>
      </c>
      <c r="N47" s="17">
        <f t="shared" si="5"/>
        <v>0</v>
      </c>
      <c r="O47" s="32">
        <f t="shared" si="6"/>
        <v>0</v>
      </c>
      <c r="AG47" t="s">
        <v>1352</v>
      </c>
      <c r="AH47" t="s">
        <v>583</v>
      </c>
      <c r="AI47">
        <v>1</v>
      </c>
      <c r="AJ47">
        <v>8</v>
      </c>
      <c r="AK47">
        <v>4</v>
      </c>
      <c r="AL47">
        <v>0</v>
      </c>
      <c r="AM47">
        <v>450</v>
      </c>
      <c r="AN47">
        <v>450</v>
      </c>
      <c r="AO47">
        <v>446</v>
      </c>
      <c r="AQ47" s="27">
        <f t="shared" si="7"/>
        <v>20866</v>
      </c>
      <c r="AS47" s="7"/>
    </row>
    <row r="48" spans="1:45" ht="12.75">
      <c r="A48" s="26" t="s">
        <v>1659</v>
      </c>
      <c r="B48" s="7" t="s">
        <v>2024</v>
      </c>
      <c r="C48" s="7" t="s">
        <v>1660</v>
      </c>
      <c r="D48" s="19">
        <v>1</v>
      </c>
      <c r="E48" s="7" t="s">
        <v>1874</v>
      </c>
      <c r="F48" s="19"/>
      <c r="G48" s="4">
        <f>IF(F48&gt;0,F48,IF(PrefetchDBSummary!$C$10="B",AJ48,8))</f>
        <v>8</v>
      </c>
      <c r="H48" s="4">
        <f>PrefetchDBSummary!$C$81</f>
        <v>0</v>
      </c>
      <c r="I48" s="4">
        <f>PrefetchDBSummary!$D$78</f>
        <v>0</v>
      </c>
      <c r="J48" s="5">
        <f t="shared" si="1"/>
        <v>0</v>
      </c>
      <c r="K48" s="4">
        <f t="shared" si="2"/>
        <v>0</v>
      </c>
      <c r="L48" s="4">
        <f t="shared" si="3"/>
        <v>0</v>
      </c>
      <c r="M48" s="5">
        <f t="shared" si="4"/>
        <v>0</v>
      </c>
      <c r="N48" s="17">
        <f t="shared" si="5"/>
        <v>0</v>
      </c>
      <c r="O48" s="32">
        <f t="shared" si="6"/>
        <v>0</v>
      </c>
      <c r="AG48" t="s">
        <v>1693</v>
      </c>
      <c r="AH48" t="s">
        <v>583</v>
      </c>
      <c r="AI48">
        <v>1</v>
      </c>
      <c r="AJ48">
        <v>32</v>
      </c>
      <c r="AK48">
        <v>13</v>
      </c>
      <c r="AL48">
        <v>4</v>
      </c>
      <c r="AM48">
        <v>457</v>
      </c>
      <c r="AN48">
        <v>649</v>
      </c>
      <c r="AO48">
        <v>352</v>
      </c>
      <c r="AQ48" s="27">
        <f t="shared" si="7"/>
        <v>765.8</v>
      </c>
      <c r="AS48" s="7"/>
    </row>
    <row r="49" spans="1:45" ht="12.75">
      <c r="A49" s="26" t="s">
        <v>1659</v>
      </c>
      <c r="B49" s="7" t="s">
        <v>2024</v>
      </c>
      <c r="C49" t="s">
        <v>1661</v>
      </c>
      <c r="D49" s="19">
        <v>1</v>
      </c>
      <c r="E49" s="7" t="s">
        <v>1878</v>
      </c>
      <c r="F49" s="19"/>
      <c r="G49" s="4">
        <f>IF(F49&gt;0,F49,IF(PrefetchDBSummary!$C$10="B",AJ49,8))</f>
        <v>8</v>
      </c>
      <c r="H49" s="4">
        <f>PrefetchDBSummary!$C$80</f>
        <v>0</v>
      </c>
      <c r="I49" s="4">
        <f>PrefetchDBSummary!$D$78</f>
        <v>0</v>
      </c>
      <c r="J49" s="5">
        <f t="shared" si="1"/>
        <v>0</v>
      </c>
      <c r="K49" s="4">
        <f t="shared" si="2"/>
        <v>0</v>
      </c>
      <c r="L49" s="4">
        <f t="shared" si="3"/>
        <v>0</v>
      </c>
      <c r="M49" s="5">
        <f t="shared" si="4"/>
        <v>0</v>
      </c>
      <c r="N49" s="17">
        <f t="shared" si="5"/>
        <v>0</v>
      </c>
      <c r="O49" s="32">
        <f t="shared" si="6"/>
        <v>0</v>
      </c>
      <c r="AG49" t="s">
        <v>1694</v>
      </c>
      <c r="AH49" t="s">
        <v>583</v>
      </c>
      <c r="AI49">
        <v>1</v>
      </c>
      <c r="AJ49">
        <v>8</v>
      </c>
      <c r="AK49">
        <v>4</v>
      </c>
      <c r="AL49">
        <v>0</v>
      </c>
      <c r="AM49">
        <v>108</v>
      </c>
      <c r="AN49">
        <v>108</v>
      </c>
      <c r="AO49">
        <v>96</v>
      </c>
      <c r="AQ49" s="27">
        <f t="shared" si="7"/>
        <v>399.4</v>
      </c>
      <c r="AS49" s="7"/>
    </row>
    <row r="50" spans="1:45" ht="12.75">
      <c r="A50" s="26" t="s">
        <v>1659</v>
      </c>
      <c r="B50" s="7" t="s">
        <v>2024</v>
      </c>
      <c r="C50" t="s">
        <v>1662</v>
      </c>
      <c r="D50" s="19">
        <v>1</v>
      </c>
      <c r="E50" s="7" t="s">
        <v>1879</v>
      </c>
      <c r="F50" s="19"/>
      <c r="G50" s="4">
        <f>IF(F50&gt;0,F50,IF(PrefetchDBSummary!$C$10="B",AJ50,8))</f>
        <v>8</v>
      </c>
      <c r="H50" s="4">
        <f>PrefetchDBSummary!$C$80</f>
        <v>0</v>
      </c>
      <c r="I50" s="4">
        <f>PrefetchDBSummary!$D$78</f>
        <v>0</v>
      </c>
      <c r="J50" s="5">
        <f t="shared" si="1"/>
        <v>0</v>
      </c>
      <c r="K50" s="4">
        <f t="shared" si="2"/>
        <v>0</v>
      </c>
      <c r="L50" s="4">
        <f t="shared" si="3"/>
        <v>0</v>
      </c>
      <c r="M50" s="5">
        <f t="shared" si="4"/>
        <v>0</v>
      </c>
      <c r="N50" s="17">
        <f t="shared" si="5"/>
        <v>0</v>
      </c>
      <c r="O50" s="32">
        <f t="shared" si="6"/>
        <v>0</v>
      </c>
      <c r="AG50" t="s">
        <v>1695</v>
      </c>
      <c r="AH50" t="s">
        <v>583</v>
      </c>
      <c r="AI50">
        <v>1</v>
      </c>
      <c r="AJ50">
        <v>32</v>
      </c>
      <c r="AK50">
        <v>14</v>
      </c>
      <c r="AL50">
        <v>0</v>
      </c>
      <c r="AM50">
        <v>310</v>
      </c>
      <c r="AN50">
        <v>310</v>
      </c>
      <c r="AO50">
        <v>224</v>
      </c>
      <c r="AQ50" s="27">
        <f t="shared" si="7"/>
        <v>714.6</v>
      </c>
      <c r="AS50" s="7"/>
    </row>
    <row r="51" spans="1:45" ht="12.75">
      <c r="A51" s="26" t="s">
        <v>1659</v>
      </c>
      <c r="B51" s="7" t="s">
        <v>2024</v>
      </c>
      <c r="C51" t="s">
        <v>1663</v>
      </c>
      <c r="D51" s="19">
        <v>6</v>
      </c>
      <c r="E51" s="7" t="s">
        <v>1876</v>
      </c>
      <c r="F51" s="19"/>
      <c r="G51" s="4">
        <f>IF(F51&gt;0,F51,IF(PrefetchDBSummary!$C$10="B",AJ51,8))</f>
        <v>8</v>
      </c>
      <c r="H51" s="4">
        <f>PrefetchDBSummary!$C$80</f>
        <v>0</v>
      </c>
      <c r="I51" s="4">
        <f>PrefetchDBSummary!$D$78</f>
        <v>0</v>
      </c>
      <c r="J51" s="5">
        <f t="shared" si="1"/>
        <v>0</v>
      </c>
      <c r="K51" s="4">
        <f t="shared" si="2"/>
        <v>0</v>
      </c>
      <c r="L51" s="4">
        <f t="shared" si="3"/>
        <v>0</v>
      </c>
      <c r="M51" s="5">
        <f t="shared" si="4"/>
        <v>0</v>
      </c>
      <c r="N51" s="17">
        <f t="shared" si="5"/>
        <v>0</v>
      </c>
      <c r="O51" s="32">
        <f t="shared" si="6"/>
        <v>0</v>
      </c>
      <c r="AG51" t="s">
        <v>1696</v>
      </c>
      <c r="AH51" t="s">
        <v>583</v>
      </c>
      <c r="AI51">
        <v>1</v>
      </c>
      <c r="AJ51">
        <v>32</v>
      </c>
      <c r="AK51">
        <v>16</v>
      </c>
      <c r="AL51">
        <v>1</v>
      </c>
      <c r="AM51">
        <v>628</v>
      </c>
      <c r="AN51">
        <v>679</v>
      </c>
      <c r="AO51">
        <v>512</v>
      </c>
      <c r="AQ51" s="27">
        <f t="shared" si="7"/>
        <v>2616.8</v>
      </c>
      <c r="AS51" s="7"/>
    </row>
    <row r="52" spans="1:45" ht="12.75">
      <c r="A52" s="26" t="s">
        <v>1659</v>
      </c>
      <c r="B52" s="7" t="s">
        <v>2024</v>
      </c>
      <c r="C52" t="s">
        <v>1790</v>
      </c>
      <c r="D52" s="19">
        <v>30</v>
      </c>
      <c r="E52" s="7" t="s">
        <v>1880</v>
      </c>
      <c r="F52" s="19"/>
      <c r="G52" s="4">
        <f>IF(F52&gt;0,F52,IF(PrefetchDBSummary!$C$10="B",AJ52,8))</f>
        <v>8</v>
      </c>
      <c r="H52" s="4">
        <f>PrefetchDBSummary!$C$80</f>
        <v>0</v>
      </c>
      <c r="I52" s="4">
        <f>PrefetchDBSummary!$D$78</f>
        <v>0</v>
      </c>
      <c r="J52" s="5">
        <f t="shared" si="1"/>
        <v>0</v>
      </c>
      <c r="K52" s="4">
        <f t="shared" si="2"/>
        <v>0</v>
      </c>
      <c r="L52" s="4">
        <f t="shared" si="3"/>
        <v>0</v>
      </c>
      <c r="M52" s="5">
        <f t="shared" si="4"/>
        <v>0</v>
      </c>
      <c r="N52" s="17">
        <f t="shared" si="5"/>
        <v>0</v>
      </c>
      <c r="O52" s="32">
        <f t="shared" si="6"/>
        <v>0</v>
      </c>
      <c r="AG52" t="s">
        <v>1796</v>
      </c>
      <c r="AH52" t="s">
        <v>583</v>
      </c>
      <c r="AI52">
        <v>1</v>
      </c>
      <c r="AJ52">
        <v>8</v>
      </c>
      <c r="AK52">
        <v>5</v>
      </c>
      <c r="AL52">
        <v>0</v>
      </c>
      <c r="AM52">
        <v>233</v>
      </c>
      <c r="AN52">
        <v>233</v>
      </c>
      <c r="AO52">
        <v>224</v>
      </c>
      <c r="AQ52" s="27">
        <f t="shared" si="7"/>
        <v>3993.0000000000005</v>
      </c>
      <c r="AS52" s="7"/>
    </row>
    <row r="53" spans="1:45" ht="12.75">
      <c r="A53" s="26" t="s">
        <v>1659</v>
      </c>
      <c r="B53" s="7" t="s">
        <v>2024</v>
      </c>
      <c r="C53" s="7" t="s">
        <v>1664</v>
      </c>
      <c r="D53" s="19">
        <v>1</v>
      </c>
      <c r="E53" s="7" t="s">
        <v>1881</v>
      </c>
      <c r="F53" s="19"/>
      <c r="G53" s="4">
        <f>IF(F53&gt;0,F53,IF(PrefetchDBSummary!$C$10="B",AJ53,8))</f>
        <v>8</v>
      </c>
      <c r="H53" s="4">
        <f>PrefetchDBSummary!$C$80</f>
        <v>0</v>
      </c>
      <c r="I53" s="4">
        <f>PrefetchDBSummary!$D$78</f>
        <v>0</v>
      </c>
      <c r="J53" s="5">
        <f t="shared" si="1"/>
        <v>0</v>
      </c>
      <c r="K53" s="4">
        <f t="shared" si="2"/>
        <v>0</v>
      </c>
      <c r="L53" s="4">
        <f t="shared" si="3"/>
        <v>0</v>
      </c>
      <c r="M53" s="5">
        <f t="shared" si="4"/>
        <v>0</v>
      </c>
      <c r="N53" s="17">
        <f t="shared" si="5"/>
        <v>0</v>
      </c>
      <c r="O53" s="32">
        <f t="shared" si="6"/>
        <v>0</v>
      </c>
      <c r="AG53" t="s">
        <v>1697</v>
      </c>
      <c r="AH53" t="s">
        <v>583</v>
      </c>
      <c r="AI53">
        <v>1</v>
      </c>
      <c r="AJ53">
        <v>32</v>
      </c>
      <c r="AK53">
        <v>18</v>
      </c>
      <c r="AL53">
        <v>6</v>
      </c>
      <c r="AM53">
        <v>618</v>
      </c>
      <c r="AN53">
        <v>884</v>
      </c>
      <c r="AO53">
        <v>480</v>
      </c>
      <c r="AQ53" s="27">
        <f t="shared" si="7"/>
        <v>945</v>
      </c>
      <c r="AS53" s="7"/>
    </row>
    <row r="54" spans="1:45" ht="12.75">
      <c r="A54" s="26" t="s">
        <v>1659</v>
      </c>
      <c r="B54" s="7" t="s">
        <v>2024</v>
      </c>
      <c r="C54" t="s">
        <v>1665</v>
      </c>
      <c r="D54" s="19">
        <v>49</v>
      </c>
      <c r="E54" s="7" t="s">
        <v>1875</v>
      </c>
      <c r="F54" s="19"/>
      <c r="G54" s="4">
        <f>IF(F54&gt;0,F54,IF(PrefetchDBSummary!$C$10="B",AJ54,8))</f>
        <v>8</v>
      </c>
      <c r="H54" s="4">
        <f>PrefetchDBSummary!$C$81</f>
        <v>0</v>
      </c>
      <c r="I54" s="4">
        <f>PrefetchDBSummary!$D$78</f>
        <v>0</v>
      </c>
      <c r="J54" s="5">
        <f t="shared" si="1"/>
        <v>0</v>
      </c>
      <c r="K54" s="4">
        <f t="shared" si="2"/>
        <v>0</v>
      </c>
      <c r="L54" s="4">
        <f t="shared" si="3"/>
        <v>0</v>
      </c>
      <c r="M54" s="5">
        <f t="shared" si="4"/>
        <v>0</v>
      </c>
      <c r="N54" s="17">
        <f t="shared" si="5"/>
        <v>0</v>
      </c>
      <c r="O54" s="32">
        <f t="shared" si="6"/>
        <v>0</v>
      </c>
      <c r="AG54" t="s">
        <v>1698</v>
      </c>
      <c r="AH54" t="s">
        <v>583</v>
      </c>
      <c r="AI54">
        <v>1</v>
      </c>
      <c r="AJ54">
        <v>32</v>
      </c>
      <c r="AK54">
        <v>10</v>
      </c>
      <c r="AL54">
        <v>2</v>
      </c>
      <c r="AM54">
        <v>526</v>
      </c>
      <c r="AN54">
        <v>604</v>
      </c>
      <c r="AO54">
        <v>480</v>
      </c>
      <c r="AQ54" s="27">
        <f t="shared" si="7"/>
        <v>13229</v>
      </c>
      <c r="AS54" s="7"/>
    </row>
    <row r="55" spans="1:45" ht="12.75">
      <c r="A55" s="26" t="s">
        <v>1659</v>
      </c>
      <c r="B55" s="7" t="s">
        <v>2024</v>
      </c>
      <c r="C55" t="s">
        <v>1666</v>
      </c>
      <c r="D55" s="19">
        <v>2</v>
      </c>
      <c r="E55" s="7" t="s">
        <v>2046</v>
      </c>
      <c r="F55" s="19"/>
      <c r="G55" s="4">
        <f>IF(F55&gt;0,F55,IF(PrefetchDBSummary!$C$10="B",AJ55,8))</f>
        <v>8</v>
      </c>
      <c r="H55" s="4">
        <f>PrefetchDBSummary!$C$79</f>
        <v>0</v>
      </c>
      <c r="I55" s="4">
        <f>PrefetchDBSummary!$D$78</f>
        <v>0</v>
      </c>
      <c r="J55" s="5">
        <f t="shared" si="1"/>
        <v>0</v>
      </c>
      <c r="K55" s="4">
        <f t="shared" si="2"/>
        <v>0</v>
      </c>
      <c r="L55" s="4">
        <f t="shared" si="3"/>
        <v>0</v>
      </c>
      <c r="M55" s="5">
        <f t="shared" si="4"/>
        <v>0</v>
      </c>
      <c r="N55" s="17">
        <f t="shared" si="5"/>
        <v>0</v>
      </c>
      <c r="O55" s="32">
        <f t="shared" si="6"/>
        <v>0</v>
      </c>
      <c r="AG55" t="s">
        <v>1699</v>
      </c>
      <c r="AH55" t="s">
        <v>583</v>
      </c>
      <c r="AI55">
        <v>2</v>
      </c>
      <c r="AJ55">
        <v>8</v>
      </c>
      <c r="AK55">
        <v>9</v>
      </c>
      <c r="AL55">
        <v>0</v>
      </c>
      <c r="AM55">
        <v>337</v>
      </c>
      <c r="AN55">
        <v>337</v>
      </c>
      <c r="AO55">
        <v>288</v>
      </c>
      <c r="AQ55" s="27">
        <f t="shared" si="7"/>
        <v>795.4</v>
      </c>
      <c r="AS55" s="7"/>
    </row>
    <row r="56" spans="1:45" ht="12.75">
      <c r="A56" s="26" t="s">
        <v>1659</v>
      </c>
      <c r="B56" s="7" t="s">
        <v>2024</v>
      </c>
      <c r="C56" t="s">
        <v>1667</v>
      </c>
      <c r="D56" s="19">
        <v>2</v>
      </c>
      <c r="E56" s="7" t="s">
        <v>2047</v>
      </c>
      <c r="F56" s="19"/>
      <c r="G56" s="4">
        <f>IF(F56&gt;0,F56,IF(PrefetchDBSummary!$C$10="B",AJ56,8))</f>
        <v>8</v>
      </c>
      <c r="H56" s="4">
        <f>PrefetchDBSummary!$C$79</f>
        <v>0</v>
      </c>
      <c r="I56" s="4">
        <f>PrefetchDBSummary!$D$78</f>
        <v>0</v>
      </c>
      <c r="J56" s="5">
        <f t="shared" si="1"/>
        <v>0</v>
      </c>
      <c r="K56" s="4">
        <f t="shared" si="2"/>
        <v>0</v>
      </c>
      <c r="L56" s="4">
        <f t="shared" si="3"/>
        <v>0</v>
      </c>
      <c r="M56" s="5">
        <f t="shared" si="4"/>
        <v>0</v>
      </c>
      <c r="N56" s="17">
        <f aca="true" t="shared" si="15" ref="N56:N126">L56*60*24*IF(G56&gt;0,G56,(G56))</f>
        <v>0</v>
      </c>
      <c r="O56" s="32">
        <f aca="true" t="shared" si="16" ref="O56:O126">N56*($AM56-$AO56*IF($AP56&gt;0,1-$AP56,1-$AS$2))*(1-$AS$3)/1024/1024</f>
        <v>0</v>
      </c>
      <c r="AG56" t="s">
        <v>1700</v>
      </c>
      <c r="AH56" t="s">
        <v>583</v>
      </c>
      <c r="AI56">
        <v>2</v>
      </c>
      <c r="AJ56">
        <v>8</v>
      </c>
      <c r="AK56">
        <v>7</v>
      </c>
      <c r="AL56">
        <v>0</v>
      </c>
      <c r="AM56">
        <v>319</v>
      </c>
      <c r="AN56">
        <v>319</v>
      </c>
      <c r="AO56">
        <v>288</v>
      </c>
      <c r="AQ56" s="27">
        <f t="shared" si="7"/>
        <v>721.4</v>
      </c>
      <c r="AS56" s="7"/>
    </row>
    <row r="57" spans="1:45" ht="12.75">
      <c r="A57" s="26" t="s">
        <v>1659</v>
      </c>
      <c r="B57" s="7" t="s">
        <v>2024</v>
      </c>
      <c r="C57" t="s">
        <v>1668</v>
      </c>
      <c r="D57" s="19">
        <v>1</v>
      </c>
      <c r="E57" s="7" t="s">
        <v>710</v>
      </c>
      <c r="F57" s="19"/>
      <c r="G57" s="4">
        <f>IF(F57&gt;0,F57,IF(PrefetchDBSummary!$C$10="B",AJ57,8))</f>
        <v>8</v>
      </c>
      <c r="H57" s="4">
        <f>PrefetchDBSummary!$C$79</f>
        <v>0</v>
      </c>
      <c r="I57" s="4">
        <f>PrefetchDBSummary!$D$78</f>
        <v>0</v>
      </c>
      <c r="J57" s="5">
        <f t="shared" si="1"/>
        <v>0</v>
      </c>
      <c r="K57" s="4">
        <f t="shared" si="2"/>
        <v>0</v>
      </c>
      <c r="L57" s="4">
        <f t="shared" si="3"/>
        <v>0</v>
      </c>
      <c r="M57" s="5">
        <f t="shared" si="4"/>
        <v>0</v>
      </c>
      <c r="N57" s="17">
        <f t="shared" si="15"/>
        <v>0</v>
      </c>
      <c r="O57" s="32">
        <f t="shared" si="16"/>
        <v>0</v>
      </c>
      <c r="AG57" t="s">
        <v>1701</v>
      </c>
      <c r="AH57" t="s">
        <v>583</v>
      </c>
      <c r="AI57">
        <v>2</v>
      </c>
      <c r="AJ57">
        <v>14</v>
      </c>
      <c r="AK57">
        <v>12</v>
      </c>
      <c r="AL57">
        <v>1</v>
      </c>
      <c r="AM57">
        <v>312</v>
      </c>
      <c r="AN57">
        <v>351</v>
      </c>
      <c r="AO57">
        <v>224</v>
      </c>
      <c r="AQ57" s="27">
        <f t="shared" si="7"/>
        <v>678.6</v>
      </c>
      <c r="AS57" s="7"/>
    </row>
    <row r="58" spans="1:45" ht="12.75">
      <c r="A58" s="26" t="s">
        <v>1659</v>
      </c>
      <c r="B58" s="7" t="s">
        <v>2024</v>
      </c>
      <c r="C58" t="s">
        <v>1669</v>
      </c>
      <c r="D58" s="19">
        <v>6</v>
      </c>
      <c r="E58" s="7" t="s">
        <v>2048</v>
      </c>
      <c r="F58" s="19"/>
      <c r="G58" s="4">
        <f>IF(F58&gt;0,F58,IF(PrefetchDBSummary!$C$10="B",AJ58,8))</f>
        <v>8</v>
      </c>
      <c r="H58" s="4">
        <f>PrefetchDBSummary!$C$79</f>
        <v>0</v>
      </c>
      <c r="I58" s="4">
        <f>PrefetchDBSummary!$D$78</f>
        <v>0</v>
      </c>
      <c r="J58" s="5">
        <f t="shared" si="1"/>
        <v>0</v>
      </c>
      <c r="K58" s="4">
        <f t="shared" si="2"/>
        <v>0</v>
      </c>
      <c r="L58" s="4">
        <f t="shared" si="3"/>
        <v>0</v>
      </c>
      <c r="M58" s="5">
        <f t="shared" si="4"/>
        <v>0</v>
      </c>
      <c r="N58" s="17">
        <f t="shared" si="15"/>
        <v>0</v>
      </c>
      <c r="O58" s="32">
        <f t="shared" si="16"/>
        <v>0</v>
      </c>
      <c r="AG58" t="s">
        <v>1702</v>
      </c>
      <c r="AH58" t="s">
        <v>583</v>
      </c>
      <c r="AI58">
        <v>2</v>
      </c>
      <c r="AJ58">
        <v>14</v>
      </c>
      <c r="AK58">
        <v>8</v>
      </c>
      <c r="AL58">
        <v>0</v>
      </c>
      <c r="AM58">
        <v>328</v>
      </c>
      <c r="AN58">
        <v>328</v>
      </c>
      <c r="AO58">
        <v>288</v>
      </c>
      <c r="AQ58" s="27">
        <f t="shared" si="7"/>
        <v>1471.1999999999998</v>
      </c>
      <c r="AS58" s="7"/>
    </row>
    <row r="59" spans="1:45" ht="12.75">
      <c r="A59" s="26" t="s">
        <v>1659</v>
      </c>
      <c r="B59" s="7" t="s">
        <v>2024</v>
      </c>
      <c r="C59" t="s">
        <v>1670</v>
      </c>
      <c r="D59" s="19">
        <v>50</v>
      </c>
      <c r="E59" s="12" t="s">
        <v>2049</v>
      </c>
      <c r="F59" s="19"/>
      <c r="G59" s="4">
        <f>IF(F59&gt;0,F59,IF(PrefetchDBSummary!$C$10="B",AJ59,8))</f>
        <v>8</v>
      </c>
      <c r="H59" s="4">
        <f>PrefetchDBSummary!$C$79</f>
        <v>0</v>
      </c>
      <c r="I59" s="4">
        <f>PrefetchDBSummary!$D$78</f>
        <v>0</v>
      </c>
      <c r="J59" s="5">
        <f t="shared" si="1"/>
        <v>0</v>
      </c>
      <c r="K59" s="4">
        <f t="shared" si="2"/>
        <v>0</v>
      </c>
      <c r="L59" s="4">
        <f t="shared" si="3"/>
        <v>0</v>
      </c>
      <c r="M59" s="5">
        <f t="shared" si="4"/>
        <v>0</v>
      </c>
      <c r="N59" s="17">
        <f t="shared" si="15"/>
        <v>0</v>
      </c>
      <c r="O59" s="32">
        <f t="shared" si="16"/>
        <v>0</v>
      </c>
      <c r="AG59" t="s">
        <v>1703</v>
      </c>
      <c r="AH59" t="s">
        <v>583</v>
      </c>
      <c r="AI59">
        <v>2</v>
      </c>
      <c r="AJ59">
        <v>14</v>
      </c>
      <c r="AK59">
        <v>13</v>
      </c>
      <c r="AL59">
        <v>3</v>
      </c>
      <c r="AM59">
        <v>793</v>
      </c>
      <c r="AN59">
        <v>898</v>
      </c>
      <c r="AO59">
        <v>736</v>
      </c>
      <c r="AQ59" s="27">
        <f t="shared" si="7"/>
        <v>19217</v>
      </c>
      <c r="AS59" s="7"/>
    </row>
    <row r="60" spans="1:45" ht="12.75">
      <c r="A60" s="26" t="s">
        <v>1659</v>
      </c>
      <c r="B60" s="7" t="s">
        <v>2024</v>
      </c>
      <c r="C60" t="s">
        <v>1671</v>
      </c>
      <c r="D60" s="19">
        <v>1</v>
      </c>
      <c r="E60" s="7" t="s">
        <v>2050</v>
      </c>
      <c r="F60" s="19"/>
      <c r="G60" s="4">
        <f>IF(F60&gt;0,F60,IF(PrefetchDBSummary!$C$10="B",AJ60,8))</f>
        <v>8</v>
      </c>
      <c r="H60" s="4">
        <f>PrefetchDBSummary!$C$79</f>
        <v>0</v>
      </c>
      <c r="I60" s="4">
        <f>PrefetchDBSummary!$D$78</f>
        <v>0</v>
      </c>
      <c r="J60" s="5">
        <f t="shared" si="1"/>
        <v>0</v>
      </c>
      <c r="K60" s="4">
        <f t="shared" si="2"/>
        <v>0</v>
      </c>
      <c r="L60" s="4">
        <f t="shared" si="3"/>
        <v>0</v>
      </c>
      <c r="M60" s="5">
        <f t="shared" si="4"/>
        <v>0</v>
      </c>
      <c r="N60" s="17">
        <f t="shared" si="15"/>
        <v>0</v>
      </c>
      <c r="O60" s="32">
        <f t="shared" si="16"/>
        <v>0</v>
      </c>
      <c r="AG60" t="s">
        <v>1704</v>
      </c>
      <c r="AH60" t="s">
        <v>583</v>
      </c>
      <c r="AI60">
        <v>5</v>
      </c>
      <c r="AJ60">
        <v>14</v>
      </c>
      <c r="AK60">
        <v>9</v>
      </c>
      <c r="AL60">
        <v>0</v>
      </c>
      <c r="AM60">
        <v>529</v>
      </c>
      <c r="AN60">
        <v>529</v>
      </c>
      <c r="AO60">
        <v>480</v>
      </c>
      <c r="AQ60" s="27">
        <f t="shared" si="7"/>
        <v>685</v>
      </c>
      <c r="AS60" s="7"/>
    </row>
    <row r="61" spans="1:45" ht="12.75">
      <c r="A61" s="26" t="s">
        <v>1659</v>
      </c>
      <c r="B61" s="7" t="s">
        <v>2024</v>
      </c>
      <c r="C61" t="s">
        <v>1672</v>
      </c>
      <c r="D61" s="19">
        <v>10</v>
      </c>
      <c r="E61" s="7" t="s">
        <v>1891</v>
      </c>
      <c r="F61" s="19"/>
      <c r="G61" s="4">
        <f>IF(F61&gt;0,F61,IF(PrefetchDBSummary!$C$10="B",AJ61,8))</f>
        <v>8</v>
      </c>
      <c r="H61" s="4">
        <f>PrefetchDBSummary!$C$79</f>
        <v>0</v>
      </c>
      <c r="I61" s="4">
        <f>PrefetchDBSummary!$D$78</f>
        <v>0</v>
      </c>
      <c r="J61" s="5">
        <f t="shared" si="1"/>
        <v>0</v>
      </c>
      <c r="K61" s="4">
        <f t="shared" si="2"/>
        <v>0</v>
      </c>
      <c r="L61" s="4">
        <f t="shared" si="3"/>
        <v>0</v>
      </c>
      <c r="M61" s="5">
        <f t="shared" si="4"/>
        <v>0</v>
      </c>
      <c r="N61" s="17">
        <f t="shared" si="15"/>
        <v>0</v>
      </c>
      <c r="O61" s="32">
        <f t="shared" si="16"/>
        <v>0</v>
      </c>
      <c r="AG61" t="s">
        <v>1705</v>
      </c>
      <c r="AH61" t="s">
        <v>583</v>
      </c>
      <c r="AI61">
        <v>2</v>
      </c>
      <c r="AJ61">
        <v>8</v>
      </c>
      <c r="AK61">
        <v>9</v>
      </c>
      <c r="AL61">
        <v>0</v>
      </c>
      <c r="AM61">
        <v>281</v>
      </c>
      <c r="AN61">
        <v>281</v>
      </c>
      <c r="AO61">
        <v>224</v>
      </c>
      <c r="AQ61" s="27">
        <f t="shared" si="7"/>
        <v>2117</v>
      </c>
      <c r="AS61" s="7"/>
    </row>
    <row r="62" spans="1:45" ht="12.75">
      <c r="A62" s="26" t="s">
        <v>1659</v>
      </c>
      <c r="B62" s="7" t="s">
        <v>2024</v>
      </c>
      <c r="C62" t="s">
        <v>1673</v>
      </c>
      <c r="D62" s="19">
        <v>1</v>
      </c>
      <c r="E62" s="7" t="s">
        <v>1874</v>
      </c>
      <c r="F62" s="19"/>
      <c r="G62" s="4">
        <f>IF(F62&gt;0,F62,IF(PrefetchDBSummary!$C$10="B",AJ62,8))</f>
        <v>8</v>
      </c>
      <c r="H62" s="4">
        <f>PrefetchDBSummary!$C$81</f>
        <v>0</v>
      </c>
      <c r="I62" s="4">
        <f>PrefetchDBSummary!$D$78</f>
        <v>0</v>
      </c>
      <c r="J62" s="5">
        <f t="shared" si="1"/>
        <v>0</v>
      </c>
      <c r="K62" s="4">
        <f t="shared" si="2"/>
        <v>0</v>
      </c>
      <c r="L62" s="4">
        <f t="shared" si="3"/>
        <v>0</v>
      </c>
      <c r="M62" s="5">
        <f t="shared" si="4"/>
        <v>0</v>
      </c>
      <c r="N62" s="17">
        <f t="shared" si="15"/>
        <v>0</v>
      </c>
      <c r="O62" s="32">
        <f t="shared" si="16"/>
        <v>0</v>
      </c>
      <c r="AG62" t="s">
        <v>1706</v>
      </c>
      <c r="AH62" t="s">
        <v>583</v>
      </c>
      <c r="AI62">
        <v>1</v>
      </c>
      <c r="AJ62">
        <v>32</v>
      </c>
      <c r="AK62">
        <v>7</v>
      </c>
      <c r="AL62">
        <v>0</v>
      </c>
      <c r="AM62">
        <v>283</v>
      </c>
      <c r="AN62">
        <v>283</v>
      </c>
      <c r="AO62">
        <v>256</v>
      </c>
      <c r="AQ62" s="27">
        <f t="shared" si="7"/>
        <v>535.4</v>
      </c>
      <c r="AS62" s="7"/>
    </row>
    <row r="63" spans="1:45" ht="12.75">
      <c r="A63" s="26" t="s">
        <v>1659</v>
      </c>
      <c r="B63" s="7" t="s">
        <v>2024</v>
      </c>
      <c r="C63" t="s">
        <v>1674</v>
      </c>
      <c r="D63" s="19">
        <v>1</v>
      </c>
      <c r="E63" s="7" t="s">
        <v>710</v>
      </c>
      <c r="F63" s="19"/>
      <c r="G63" s="4">
        <f>IF(F63&gt;0,F63,IF(PrefetchDBSummary!$C$10="B",AJ63,8))</f>
        <v>8</v>
      </c>
      <c r="H63" s="4">
        <f>PrefetchDBSummary!$C$81</f>
        <v>0</v>
      </c>
      <c r="I63" s="4">
        <f>PrefetchDBSummary!$D$78</f>
        <v>0</v>
      </c>
      <c r="J63" s="5">
        <f t="shared" si="1"/>
        <v>0</v>
      </c>
      <c r="K63" s="4">
        <f t="shared" si="2"/>
        <v>0</v>
      </c>
      <c r="L63" s="4">
        <f t="shared" si="3"/>
        <v>0</v>
      </c>
      <c r="M63" s="5">
        <f t="shared" si="4"/>
        <v>0</v>
      </c>
      <c r="N63" s="17">
        <f t="shared" si="15"/>
        <v>0</v>
      </c>
      <c r="O63" s="32">
        <f t="shared" si="16"/>
        <v>0</v>
      </c>
      <c r="AG63" t="s">
        <v>1707</v>
      </c>
      <c r="AH63" t="s">
        <v>583</v>
      </c>
      <c r="AI63">
        <v>1</v>
      </c>
      <c r="AJ63">
        <v>32</v>
      </c>
      <c r="AK63">
        <v>8</v>
      </c>
      <c r="AL63">
        <v>0</v>
      </c>
      <c r="AM63">
        <v>296</v>
      </c>
      <c r="AN63">
        <v>296</v>
      </c>
      <c r="AO63">
        <v>224</v>
      </c>
      <c r="AQ63" s="27">
        <f t="shared" si="7"/>
        <v>586.6</v>
      </c>
      <c r="AS63" s="7"/>
    </row>
    <row r="64" spans="1:45" ht="12.75">
      <c r="A64" s="26" t="s">
        <v>1659</v>
      </c>
      <c r="B64" s="7" t="s">
        <v>2024</v>
      </c>
      <c r="C64" t="s">
        <v>1675</v>
      </c>
      <c r="D64" s="19">
        <v>1</v>
      </c>
      <c r="E64" s="7" t="s">
        <v>710</v>
      </c>
      <c r="F64" s="19"/>
      <c r="G64" s="4">
        <f>IF(F64&gt;0,F64,IF(PrefetchDBSummary!$C$10="B",AJ64,8))</f>
        <v>8</v>
      </c>
      <c r="H64" s="4">
        <f>PrefetchDBSummary!$C$81</f>
        <v>0</v>
      </c>
      <c r="I64" s="4">
        <f>PrefetchDBSummary!$D$78</f>
        <v>0</v>
      </c>
      <c r="J64" s="5">
        <f t="shared" si="1"/>
        <v>0</v>
      </c>
      <c r="K64" s="4">
        <f t="shared" si="2"/>
        <v>0</v>
      </c>
      <c r="L64" s="4">
        <f t="shared" si="3"/>
        <v>0</v>
      </c>
      <c r="M64" s="5">
        <f t="shared" si="4"/>
        <v>0</v>
      </c>
      <c r="N64" s="17">
        <f t="shared" si="15"/>
        <v>0</v>
      </c>
      <c r="O64" s="32">
        <f t="shared" si="16"/>
        <v>0</v>
      </c>
      <c r="AG64" t="s">
        <v>1708</v>
      </c>
      <c r="AH64" t="s">
        <v>583</v>
      </c>
      <c r="AI64">
        <v>1</v>
      </c>
      <c r="AJ64">
        <v>32</v>
      </c>
      <c r="AK64">
        <v>9</v>
      </c>
      <c r="AL64">
        <v>0</v>
      </c>
      <c r="AM64">
        <v>301</v>
      </c>
      <c r="AN64">
        <v>301</v>
      </c>
      <c r="AO64">
        <v>224</v>
      </c>
      <c r="AQ64" s="27">
        <f t="shared" si="7"/>
        <v>610.6</v>
      </c>
      <c r="AS64" s="7"/>
    </row>
    <row r="65" spans="1:45" ht="12.75">
      <c r="A65" s="26" t="s">
        <v>1659</v>
      </c>
      <c r="B65" s="7" t="s">
        <v>2024</v>
      </c>
      <c r="C65" t="s">
        <v>1676</v>
      </c>
      <c r="D65" s="19">
        <v>1</v>
      </c>
      <c r="E65" s="7" t="s">
        <v>710</v>
      </c>
      <c r="F65" s="19"/>
      <c r="G65" s="4">
        <f>IF(F65&gt;0,F65,IF(PrefetchDBSummary!$C$10="B",AJ65,8))</f>
        <v>8</v>
      </c>
      <c r="H65" s="4">
        <f>PrefetchDBSummary!$C$81</f>
        <v>0</v>
      </c>
      <c r="I65" s="4">
        <f>PrefetchDBSummary!$D$78</f>
        <v>0</v>
      </c>
      <c r="J65" s="5">
        <f t="shared" si="1"/>
        <v>0</v>
      </c>
      <c r="K65" s="4">
        <f t="shared" si="2"/>
        <v>0</v>
      </c>
      <c r="L65" s="4">
        <f t="shared" si="3"/>
        <v>0</v>
      </c>
      <c r="M65" s="5">
        <f t="shared" si="4"/>
        <v>0</v>
      </c>
      <c r="N65" s="17">
        <f t="shared" si="15"/>
        <v>0</v>
      </c>
      <c r="O65" s="32">
        <f t="shared" si="16"/>
        <v>0</v>
      </c>
      <c r="AG65" t="s">
        <v>1709</v>
      </c>
      <c r="AH65" t="s">
        <v>583</v>
      </c>
      <c r="AI65">
        <v>1</v>
      </c>
      <c r="AJ65">
        <v>32</v>
      </c>
      <c r="AK65">
        <v>10</v>
      </c>
      <c r="AL65">
        <v>0</v>
      </c>
      <c r="AM65">
        <v>282</v>
      </c>
      <c r="AN65">
        <v>282</v>
      </c>
      <c r="AO65">
        <v>224</v>
      </c>
      <c r="AQ65" s="27">
        <f t="shared" si="7"/>
        <v>610.6</v>
      </c>
      <c r="AS65" s="7"/>
    </row>
    <row r="66" spans="1:45" ht="12.75">
      <c r="A66" s="26" t="s">
        <v>1659</v>
      </c>
      <c r="B66" s="7" t="s">
        <v>2024</v>
      </c>
      <c r="C66" t="s">
        <v>1677</v>
      </c>
      <c r="D66" s="19">
        <v>1</v>
      </c>
      <c r="E66" s="7" t="s">
        <v>710</v>
      </c>
      <c r="F66" s="19"/>
      <c r="G66" s="4">
        <f>IF(F66&gt;0,F66,IF(PrefetchDBSummary!$C$10="B",AJ66,8))</f>
        <v>8</v>
      </c>
      <c r="H66" s="4">
        <f>PrefetchDBSummary!$C$82</f>
        <v>0</v>
      </c>
      <c r="I66" s="4">
        <f>PrefetchDBSummary!$D$78</f>
        <v>0</v>
      </c>
      <c r="J66" s="5">
        <f t="shared" si="1"/>
        <v>0</v>
      </c>
      <c r="K66" s="4">
        <f t="shared" si="2"/>
        <v>0</v>
      </c>
      <c r="L66" s="4">
        <f t="shared" si="3"/>
        <v>0</v>
      </c>
      <c r="M66" s="5">
        <f t="shared" si="4"/>
        <v>0</v>
      </c>
      <c r="N66" s="17">
        <f t="shared" si="15"/>
        <v>0</v>
      </c>
      <c r="O66" s="32">
        <f t="shared" si="16"/>
        <v>0</v>
      </c>
      <c r="AG66" t="s">
        <v>1710</v>
      </c>
      <c r="AH66" t="s">
        <v>583</v>
      </c>
      <c r="AI66">
        <v>5</v>
      </c>
      <c r="AJ66">
        <v>32</v>
      </c>
      <c r="AK66">
        <v>12</v>
      </c>
      <c r="AL66">
        <v>2</v>
      </c>
      <c r="AM66">
        <v>304</v>
      </c>
      <c r="AN66">
        <v>406</v>
      </c>
      <c r="AO66">
        <v>224</v>
      </c>
      <c r="AQ66" s="27">
        <f t="shared" si="7"/>
        <v>670.6</v>
      </c>
      <c r="AS66" s="7"/>
    </row>
    <row r="67" spans="1:45" ht="12.75">
      <c r="A67" s="26" t="s">
        <v>1659</v>
      </c>
      <c r="B67" s="7" t="s">
        <v>2024</v>
      </c>
      <c r="C67" t="s">
        <v>1678</v>
      </c>
      <c r="D67" s="19">
        <v>1</v>
      </c>
      <c r="E67" s="7" t="s">
        <v>710</v>
      </c>
      <c r="F67" s="19"/>
      <c r="G67" s="4">
        <f>IF(F67&gt;0,F67,IF(PrefetchDBSummary!$C$10="B",AJ67,8))</f>
        <v>8</v>
      </c>
      <c r="H67" s="4">
        <f>PrefetchDBSummary!$C$82</f>
        <v>0</v>
      </c>
      <c r="I67" s="4">
        <f>PrefetchDBSummary!$D$78</f>
        <v>0</v>
      </c>
      <c r="J67" s="5">
        <f t="shared" si="1"/>
        <v>0</v>
      </c>
      <c r="K67" s="4">
        <f t="shared" si="2"/>
        <v>0</v>
      </c>
      <c r="L67" s="4">
        <f t="shared" si="3"/>
        <v>0</v>
      </c>
      <c r="M67" s="5">
        <f t="shared" si="4"/>
        <v>0</v>
      </c>
      <c r="N67" s="17">
        <f t="shared" si="15"/>
        <v>0</v>
      </c>
      <c r="O67" s="32">
        <f t="shared" si="16"/>
        <v>0</v>
      </c>
      <c r="AG67" t="s">
        <v>1711</v>
      </c>
      <c r="AH67" t="s">
        <v>583</v>
      </c>
      <c r="AI67">
        <v>5</v>
      </c>
      <c r="AJ67">
        <v>32</v>
      </c>
      <c r="AK67">
        <v>5</v>
      </c>
      <c r="AL67">
        <v>0</v>
      </c>
      <c r="AM67">
        <v>233</v>
      </c>
      <c r="AN67">
        <v>233</v>
      </c>
      <c r="AO67">
        <v>224</v>
      </c>
      <c r="AQ67" s="27">
        <f t="shared" si="7"/>
        <v>466.6</v>
      </c>
      <c r="AS67" s="7"/>
    </row>
    <row r="68" spans="1:45" ht="12.75">
      <c r="A68" s="26" t="s">
        <v>1659</v>
      </c>
      <c r="B68" s="7" t="s">
        <v>2024</v>
      </c>
      <c r="C68" t="s">
        <v>1679</v>
      </c>
      <c r="D68" s="19">
        <v>1</v>
      </c>
      <c r="E68" s="7" t="s">
        <v>710</v>
      </c>
      <c r="F68" s="19"/>
      <c r="G68" s="4">
        <f>IF(F68&gt;0,F68,IF(PrefetchDBSummary!$C$10="B",AJ68,8))</f>
        <v>8</v>
      </c>
      <c r="H68" s="4">
        <f>PrefetchDBSummary!$C$82</f>
        <v>0</v>
      </c>
      <c r="I68" s="4">
        <f>PrefetchDBSummary!$D$78</f>
        <v>0</v>
      </c>
      <c r="J68" s="5">
        <f t="shared" si="1"/>
        <v>0</v>
      </c>
      <c r="K68" s="4">
        <f t="shared" si="2"/>
        <v>0</v>
      </c>
      <c r="L68" s="4">
        <f t="shared" si="3"/>
        <v>0</v>
      </c>
      <c r="M68" s="5">
        <f t="shared" si="4"/>
        <v>0</v>
      </c>
      <c r="N68" s="17">
        <f t="shared" si="15"/>
        <v>0</v>
      </c>
      <c r="O68" s="32">
        <f t="shared" si="16"/>
        <v>0</v>
      </c>
      <c r="AG68" t="s">
        <v>1712</v>
      </c>
      <c r="AH68" t="s">
        <v>583</v>
      </c>
      <c r="AI68">
        <v>5</v>
      </c>
      <c r="AJ68">
        <v>32</v>
      </c>
      <c r="AK68">
        <v>10</v>
      </c>
      <c r="AL68">
        <v>0</v>
      </c>
      <c r="AM68">
        <v>210</v>
      </c>
      <c r="AN68">
        <v>210</v>
      </c>
      <c r="AO68">
        <v>160</v>
      </c>
      <c r="AQ68" s="27">
        <f t="shared" si="7"/>
        <v>577</v>
      </c>
      <c r="AS68" s="7"/>
    </row>
    <row r="69" spans="1:45" ht="12.75">
      <c r="A69" s="26" t="s">
        <v>1659</v>
      </c>
      <c r="B69" s="7" t="s">
        <v>2024</v>
      </c>
      <c r="C69" t="s">
        <v>1680</v>
      </c>
      <c r="D69" s="19">
        <v>1</v>
      </c>
      <c r="E69" s="7" t="s">
        <v>710</v>
      </c>
      <c r="F69" s="19"/>
      <c r="G69" s="4">
        <f>IF(F69&gt;0,F69,IF(PrefetchDBSummary!$C$10="B",AJ69,8))</f>
        <v>8</v>
      </c>
      <c r="H69" s="4">
        <f>PrefetchDBSummary!$C$82</f>
        <v>0</v>
      </c>
      <c r="I69" s="4">
        <f>PrefetchDBSummary!$D$78</f>
        <v>0</v>
      </c>
      <c r="J69" s="5">
        <f t="shared" si="1"/>
        <v>0</v>
      </c>
      <c r="K69" s="4">
        <f t="shared" si="2"/>
        <v>0</v>
      </c>
      <c r="L69" s="4">
        <f t="shared" si="3"/>
        <v>0</v>
      </c>
      <c r="M69" s="5">
        <f t="shared" si="4"/>
        <v>0</v>
      </c>
      <c r="N69" s="17">
        <f t="shared" si="15"/>
        <v>0</v>
      </c>
      <c r="O69" s="32">
        <f t="shared" si="16"/>
        <v>0</v>
      </c>
      <c r="AG69" t="s">
        <v>1713</v>
      </c>
      <c r="AH69" t="s">
        <v>583</v>
      </c>
      <c r="AI69">
        <v>5</v>
      </c>
      <c r="AJ69">
        <v>32</v>
      </c>
      <c r="AK69">
        <v>11</v>
      </c>
      <c r="AL69">
        <v>0</v>
      </c>
      <c r="AM69">
        <v>215</v>
      </c>
      <c r="AN69">
        <v>215</v>
      </c>
      <c r="AO69">
        <v>160</v>
      </c>
      <c r="AQ69" s="27">
        <f t="shared" si="7"/>
        <v>601</v>
      </c>
      <c r="AS69" s="7"/>
    </row>
    <row r="70" spans="1:45" ht="12.75">
      <c r="A70" s="26" t="s">
        <v>1659</v>
      </c>
      <c r="B70" s="7" t="s">
        <v>2024</v>
      </c>
      <c r="C70" t="s">
        <v>1681</v>
      </c>
      <c r="D70" s="19">
        <v>50</v>
      </c>
      <c r="E70" s="7" t="s">
        <v>1893</v>
      </c>
      <c r="F70" s="19"/>
      <c r="G70" s="4">
        <f>IF(F70&gt;0,F70,IF(PrefetchDBSummary!$C$10="B",AJ70,8))</f>
        <v>8</v>
      </c>
      <c r="H70" s="4">
        <f>PrefetchDBSummary!$C$82</f>
        <v>0</v>
      </c>
      <c r="I70" s="4">
        <f>PrefetchDBSummary!$D$78</f>
        <v>0</v>
      </c>
      <c r="J70" s="5">
        <f t="shared" si="1"/>
        <v>0</v>
      </c>
      <c r="K70" s="4">
        <f t="shared" si="2"/>
        <v>0</v>
      </c>
      <c r="L70" s="4">
        <f t="shared" si="3"/>
        <v>0</v>
      </c>
      <c r="M70" s="5">
        <f t="shared" si="4"/>
        <v>0</v>
      </c>
      <c r="N70" s="17">
        <f t="shared" si="15"/>
        <v>0</v>
      </c>
      <c r="O70" s="32">
        <f t="shared" si="16"/>
        <v>0</v>
      </c>
      <c r="AG70" t="s">
        <v>1714</v>
      </c>
      <c r="AH70" t="s">
        <v>583</v>
      </c>
      <c r="AI70">
        <v>5</v>
      </c>
      <c r="AJ70">
        <v>32</v>
      </c>
      <c r="AK70">
        <v>9</v>
      </c>
      <c r="AL70">
        <v>2</v>
      </c>
      <c r="AM70">
        <v>353</v>
      </c>
      <c r="AN70">
        <v>455</v>
      </c>
      <c r="AO70">
        <v>288</v>
      </c>
      <c r="AQ70" s="27">
        <f t="shared" si="7"/>
        <v>10581</v>
      </c>
      <c r="AS70" s="7"/>
    </row>
    <row r="71" spans="1:45" ht="12.75">
      <c r="A71" s="26" t="s">
        <v>1659</v>
      </c>
      <c r="B71" s="7" t="s">
        <v>2024</v>
      </c>
      <c r="C71" t="s">
        <v>1682</v>
      </c>
      <c r="D71" s="19">
        <v>100</v>
      </c>
      <c r="E71" s="7" t="s">
        <v>1894</v>
      </c>
      <c r="F71" s="19"/>
      <c r="G71" s="4">
        <f>IF(F71&gt;0,F71,IF(PrefetchDBSummary!$C$10="B",AJ71,8))</f>
        <v>8</v>
      </c>
      <c r="H71" s="4">
        <f>PrefetchDBSummary!$C$82</f>
        <v>0</v>
      </c>
      <c r="I71" s="4">
        <f>PrefetchDBSummary!$D$78</f>
        <v>0</v>
      </c>
      <c r="J71" s="5">
        <f t="shared" si="1"/>
        <v>0</v>
      </c>
      <c r="K71" s="4">
        <f t="shared" si="2"/>
        <v>0</v>
      </c>
      <c r="L71" s="4">
        <f t="shared" si="3"/>
        <v>0</v>
      </c>
      <c r="M71" s="5">
        <f t="shared" si="4"/>
        <v>0</v>
      </c>
      <c r="N71" s="17">
        <f t="shared" si="15"/>
        <v>0</v>
      </c>
      <c r="O71" s="32">
        <f t="shared" si="16"/>
        <v>0</v>
      </c>
      <c r="AG71" t="s">
        <v>1715</v>
      </c>
      <c r="AH71" t="s">
        <v>583</v>
      </c>
      <c r="AI71">
        <v>5</v>
      </c>
      <c r="AJ71">
        <v>8</v>
      </c>
      <c r="AK71">
        <v>9</v>
      </c>
      <c r="AL71">
        <v>0</v>
      </c>
      <c r="AM71">
        <v>629</v>
      </c>
      <c r="AN71">
        <v>629</v>
      </c>
      <c r="AO71">
        <v>608</v>
      </c>
      <c r="AQ71" s="27">
        <f t="shared" si="7"/>
        <v>29141.000000000004</v>
      </c>
      <c r="AS71" s="7"/>
    </row>
    <row r="72" spans="1:45" ht="12.75">
      <c r="A72" s="26" t="s">
        <v>1659</v>
      </c>
      <c r="B72" s="7" t="s">
        <v>2024</v>
      </c>
      <c r="C72" t="s">
        <v>1683</v>
      </c>
      <c r="D72" s="19">
        <v>1</v>
      </c>
      <c r="E72" s="7" t="s">
        <v>710</v>
      </c>
      <c r="F72" s="19"/>
      <c r="G72" s="4">
        <f>IF(F72&gt;0,F72,IF(PrefetchDBSummary!$C$10="B",AJ72,8))</f>
        <v>8</v>
      </c>
      <c r="H72" s="4">
        <f>PrefetchDBSummary!$C$82</f>
        <v>0</v>
      </c>
      <c r="I72" s="4">
        <f>PrefetchDBSummary!$D$78</f>
        <v>0</v>
      </c>
      <c r="J72" s="5">
        <f aca="true" t="shared" si="17" ref="J72:J148">IF(H72&gt;0,(AQ72)/(AI72*60),IF(I72&gt;0,(AQ72)/(5*60),0))</f>
        <v>0</v>
      </c>
      <c r="K72" s="4">
        <f aca="true" t="shared" si="18" ref="K72:K148">IF(H72&gt;0,D72/AI72,IF(I72&gt;0,D72/5,0))</f>
        <v>0</v>
      </c>
      <c r="L72" s="4">
        <f aca="true" t="shared" si="19" ref="L72:L148">H72*D72/AI72+I72*D72/5</f>
        <v>0</v>
      </c>
      <c r="M72" s="5">
        <f aca="true" t="shared" si="20" ref="M72:M148">L72*AM72*(1-IF(AP72&gt;0,AP72,$AS$2)*$AS$3)/1024</f>
        <v>0</v>
      </c>
      <c r="N72" s="17">
        <f t="shared" si="15"/>
        <v>0</v>
      </c>
      <c r="O72" s="32">
        <f t="shared" si="16"/>
        <v>0</v>
      </c>
      <c r="AG72" t="s">
        <v>1716</v>
      </c>
      <c r="AH72" t="s">
        <v>583</v>
      </c>
      <c r="AI72">
        <v>5</v>
      </c>
      <c r="AJ72">
        <v>32</v>
      </c>
      <c r="AK72">
        <v>7</v>
      </c>
      <c r="AL72">
        <v>0</v>
      </c>
      <c r="AM72">
        <v>195</v>
      </c>
      <c r="AN72">
        <v>195</v>
      </c>
      <c r="AO72">
        <v>160</v>
      </c>
      <c r="AQ72" s="27">
        <f t="shared" si="7"/>
        <v>505</v>
      </c>
      <c r="AS72" s="7"/>
    </row>
    <row r="73" spans="1:45" ht="12.75">
      <c r="A73" s="26" t="s">
        <v>1659</v>
      </c>
      <c r="B73" s="7" t="s">
        <v>2024</v>
      </c>
      <c r="C73" t="s">
        <v>1684</v>
      </c>
      <c r="D73" s="19">
        <v>10</v>
      </c>
      <c r="E73" s="7" t="s">
        <v>1891</v>
      </c>
      <c r="F73" s="19"/>
      <c r="G73" s="4">
        <f>IF(F73&gt;0,F73,IF(PrefetchDBSummary!$C$10="B",AJ73,8))</f>
        <v>8</v>
      </c>
      <c r="H73" s="4">
        <f>PrefetchDBSummary!$C$82</f>
        <v>0</v>
      </c>
      <c r="I73" s="4">
        <f>PrefetchDBSummary!$D$78</f>
        <v>0</v>
      </c>
      <c r="J73" s="5">
        <f t="shared" si="17"/>
        <v>0</v>
      </c>
      <c r="K73" s="4">
        <f t="shared" si="18"/>
        <v>0</v>
      </c>
      <c r="L73" s="4">
        <f t="shared" si="19"/>
        <v>0</v>
      </c>
      <c r="M73" s="5">
        <f t="shared" si="20"/>
        <v>0</v>
      </c>
      <c r="N73" s="17">
        <f t="shared" si="15"/>
        <v>0</v>
      </c>
      <c r="O73" s="32">
        <f t="shared" si="16"/>
        <v>0</v>
      </c>
      <c r="AG73" t="s">
        <v>1717</v>
      </c>
      <c r="AH73" t="s">
        <v>583</v>
      </c>
      <c r="AI73">
        <v>5</v>
      </c>
      <c r="AJ73">
        <v>8</v>
      </c>
      <c r="AK73">
        <v>8</v>
      </c>
      <c r="AL73">
        <v>0</v>
      </c>
      <c r="AM73">
        <v>308</v>
      </c>
      <c r="AN73">
        <v>308</v>
      </c>
      <c r="AO73">
        <v>288</v>
      </c>
      <c r="AQ73" s="27">
        <f aca="true" t="shared" si="21" ref="AQ73:AQ149">250+19*AK73+D73*(23+(AM73-AO73)+AO73*(1-IF(AP73&gt;0,AP73,$AS$2)))</f>
        <v>1984</v>
      </c>
      <c r="AS73" s="7"/>
    </row>
    <row r="74" spans="1:45" ht="12.75">
      <c r="A74" s="26" t="s">
        <v>1659</v>
      </c>
      <c r="B74" s="7" t="s">
        <v>2024</v>
      </c>
      <c r="C74" t="s">
        <v>1685</v>
      </c>
      <c r="D74" s="19">
        <v>50</v>
      </c>
      <c r="E74" s="7" t="s">
        <v>1892</v>
      </c>
      <c r="F74" s="19"/>
      <c r="G74" s="4">
        <f>IF(F74&gt;0,F74,IF(PrefetchDBSummary!$C$10="B",AJ74,8))</f>
        <v>8</v>
      </c>
      <c r="H74" s="4">
        <f>PrefetchDBSummary!$C$82</f>
        <v>0</v>
      </c>
      <c r="I74" s="4">
        <f>PrefetchDBSummary!$D$78</f>
        <v>0</v>
      </c>
      <c r="J74" s="5">
        <f t="shared" si="17"/>
        <v>0</v>
      </c>
      <c r="K74" s="4">
        <f t="shared" si="18"/>
        <v>0</v>
      </c>
      <c r="L74" s="4">
        <f t="shared" si="19"/>
        <v>0</v>
      </c>
      <c r="M74" s="5">
        <f t="shared" si="20"/>
        <v>0</v>
      </c>
      <c r="N74" s="17">
        <f t="shared" si="15"/>
        <v>0</v>
      </c>
      <c r="O74" s="32">
        <f t="shared" si="16"/>
        <v>0</v>
      </c>
      <c r="AG74" t="s">
        <v>1718</v>
      </c>
      <c r="AH74" t="s">
        <v>583</v>
      </c>
      <c r="AI74">
        <v>5</v>
      </c>
      <c r="AJ74">
        <v>8</v>
      </c>
      <c r="AK74">
        <v>5</v>
      </c>
      <c r="AL74">
        <v>0</v>
      </c>
      <c r="AM74">
        <v>233</v>
      </c>
      <c r="AN74">
        <v>233</v>
      </c>
      <c r="AO74">
        <v>224</v>
      </c>
      <c r="AQ74" s="27">
        <f t="shared" si="21"/>
        <v>6425</v>
      </c>
      <c r="AS74" s="7"/>
    </row>
    <row r="75" spans="1:45" ht="12.75">
      <c r="A75" s="26" t="s">
        <v>1659</v>
      </c>
      <c r="B75" s="7" t="s">
        <v>2024</v>
      </c>
      <c r="C75" t="s">
        <v>1686</v>
      </c>
      <c r="D75" s="19">
        <v>30</v>
      </c>
      <c r="E75" s="7" t="s">
        <v>1883</v>
      </c>
      <c r="F75" s="19"/>
      <c r="G75" s="4">
        <f>IF(F75&gt;0,F75,IF(PrefetchDBSummary!$C$10="B",AJ75,8))</f>
        <v>8</v>
      </c>
      <c r="H75" s="4">
        <f>PrefetchDBSummary!$C$80</f>
        <v>0</v>
      </c>
      <c r="I75" s="4">
        <f>PrefetchDBSummary!$D$78</f>
        <v>0</v>
      </c>
      <c r="J75" s="5">
        <f t="shared" si="17"/>
        <v>0</v>
      </c>
      <c r="K75" s="4">
        <f t="shared" si="18"/>
        <v>0</v>
      </c>
      <c r="L75" s="4">
        <f t="shared" si="19"/>
        <v>0</v>
      </c>
      <c r="M75" s="5">
        <f t="shared" si="20"/>
        <v>0</v>
      </c>
      <c r="N75" s="17">
        <f t="shared" si="15"/>
        <v>0</v>
      </c>
      <c r="O75" s="32">
        <f t="shared" si="16"/>
        <v>0</v>
      </c>
      <c r="AG75" t="s">
        <v>1719</v>
      </c>
      <c r="AH75" t="s">
        <v>583</v>
      </c>
      <c r="AI75">
        <v>1</v>
      </c>
      <c r="AJ75">
        <v>32</v>
      </c>
      <c r="AK75">
        <v>15</v>
      </c>
      <c r="AL75">
        <v>4</v>
      </c>
      <c r="AM75">
        <v>827</v>
      </c>
      <c r="AN75">
        <v>983</v>
      </c>
      <c r="AO75">
        <v>736</v>
      </c>
      <c r="AQ75" s="27">
        <f t="shared" si="21"/>
        <v>12787.000000000002</v>
      </c>
      <c r="AS75" s="7"/>
    </row>
    <row r="76" spans="1:45" ht="12.75">
      <c r="A76" s="26" t="s">
        <v>1659</v>
      </c>
      <c r="B76" s="7" t="s">
        <v>2024</v>
      </c>
      <c r="C76" t="s">
        <v>1791</v>
      </c>
      <c r="D76" s="19">
        <v>10</v>
      </c>
      <c r="E76" s="7" t="s">
        <v>1882</v>
      </c>
      <c r="F76" s="19"/>
      <c r="G76" s="4">
        <f>IF(F76&gt;0,F76,IF(PrefetchDBSummary!$C$10="B",AJ76,8))</f>
        <v>8</v>
      </c>
      <c r="H76" s="4">
        <f>PrefetchDBSummary!$C$80</f>
        <v>0</v>
      </c>
      <c r="I76" s="4">
        <f>PrefetchDBSummary!$D$78</f>
        <v>0</v>
      </c>
      <c r="J76" s="5">
        <f t="shared" si="17"/>
        <v>0</v>
      </c>
      <c r="K76" s="4">
        <f t="shared" si="18"/>
        <v>0</v>
      </c>
      <c r="L76" s="4">
        <f t="shared" si="19"/>
        <v>0</v>
      </c>
      <c r="M76" s="5">
        <f t="shared" si="20"/>
        <v>0</v>
      </c>
      <c r="N76" s="17">
        <f t="shared" si="15"/>
        <v>0</v>
      </c>
      <c r="O76" s="32">
        <f t="shared" si="16"/>
        <v>0</v>
      </c>
      <c r="AG76" t="s">
        <v>1797</v>
      </c>
      <c r="AH76" t="s">
        <v>583</v>
      </c>
      <c r="AI76">
        <v>1</v>
      </c>
      <c r="AJ76">
        <v>32</v>
      </c>
      <c r="AK76">
        <v>9</v>
      </c>
      <c r="AL76">
        <v>2</v>
      </c>
      <c r="AM76">
        <v>389</v>
      </c>
      <c r="AN76">
        <v>467</v>
      </c>
      <c r="AO76">
        <v>352</v>
      </c>
      <c r="AQ76" s="27">
        <f t="shared" si="21"/>
        <v>2429</v>
      </c>
      <c r="AS76" s="7"/>
    </row>
    <row r="77" spans="1:45" ht="12.75">
      <c r="A77" s="26" t="s">
        <v>1659</v>
      </c>
      <c r="B77" s="7" t="s">
        <v>2024</v>
      </c>
      <c r="C77" t="s">
        <v>1687</v>
      </c>
      <c r="D77" s="19">
        <v>1</v>
      </c>
      <c r="E77" s="7" t="s">
        <v>1888</v>
      </c>
      <c r="F77" s="19"/>
      <c r="G77" s="4">
        <f>IF(F77&gt;0,F77,IF(PrefetchDBSummary!$C$10="B",AJ77,8))</f>
        <v>8</v>
      </c>
      <c r="H77" s="4">
        <f>PrefetchDBSummary!$C$83</f>
        <v>0</v>
      </c>
      <c r="I77" s="4">
        <f>PrefetchDBSummary!$D$78</f>
        <v>0</v>
      </c>
      <c r="J77" s="5">
        <f t="shared" si="17"/>
        <v>0</v>
      </c>
      <c r="K77" s="4">
        <f t="shared" si="18"/>
        <v>0</v>
      </c>
      <c r="L77" s="4">
        <f t="shared" si="19"/>
        <v>0</v>
      </c>
      <c r="M77" s="5">
        <f t="shared" si="20"/>
        <v>0</v>
      </c>
      <c r="N77" s="17">
        <f t="shared" si="15"/>
        <v>0</v>
      </c>
      <c r="O77" s="32">
        <f t="shared" si="16"/>
        <v>0</v>
      </c>
      <c r="AG77" t="s">
        <v>1720</v>
      </c>
      <c r="AH77" t="s">
        <v>583</v>
      </c>
      <c r="AI77">
        <v>1</v>
      </c>
      <c r="AJ77">
        <v>32</v>
      </c>
      <c r="AK77">
        <v>13</v>
      </c>
      <c r="AL77">
        <v>2</v>
      </c>
      <c r="AM77">
        <v>369</v>
      </c>
      <c r="AN77">
        <v>471</v>
      </c>
      <c r="AO77">
        <v>288</v>
      </c>
      <c r="AQ77" s="27">
        <f t="shared" si="21"/>
        <v>716.2</v>
      </c>
      <c r="AS77" s="7"/>
    </row>
    <row r="78" spans="1:45" ht="12.75">
      <c r="A78" s="26" t="s">
        <v>1659</v>
      </c>
      <c r="B78" s="7" t="s">
        <v>2024</v>
      </c>
      <c r="C78" t="s">
        <v>1688</v>
      </c>
      <c r="D78" s="19">
        <v>5</v>
      </c>
      <c r="E78" s="7" t="s">
        <v>1889</v>
      </c>
      <c r="F78" s="19"/>
      <c r="G78" s="4">
        <f>IF(F78&gt;0,F78,IF(PrefetchDBSummary!$C$10="B",AJ78,8))</f>
        <v>8</v>
      </c>
      <c r="H78" s="4">
        <f>PrefetchDBSummary!$C$83</f>
        <v>0</v>
      </c>
      <c r="I78" s="4">
        <f>PrefetchDBSummary!$D$78</f>
        <v>0</v>
      </c>
      <c r="J78" s="5">
        <f t="shared" si="17"/>
        <v>0</v>
      </c>
      <c r="K78" s="4">
        <f t="shared" si="18"/>
        <v>0</v>
      </c>
      <c r="L78" s="4">
        <f t="shared" si="19"/>
        <v>0</v>
      </c>
      <c r="M78" s="5">
        <f t="shared" si="20"/>
        <v>0</v>
      </c>
      <c r="N78" s="17">
        <f t="shared" si="15"/>
        <v>0</v>
      </c>
      <c r="O78" s="32">
        <f t="shared" si="16"/>
        <v>0</v>
      </c>
      <c r="AG78" t="s">
        <v>1721</v>
      </c>
      <c r="AH78" t="s">
        <v>583</v>
      </c>
      <c r="AI78">
        <v>1</v>
      </c>
      <c r="AJ78">
        <v>32</v>
      </c>
      <c r="AK78">
        <v>7</v>
      </c>
      <c r="AL78">
        <v>1</v>
      </c>
      <c r="AM78">
        <v>811</v>
      </c>
      <c r="AN78">
        <v>850</v>
      </c>
      <c r="AO78">
        <v>800</v>
      </c>
      <c r="AQ78" s="27">
        <f t="shared" si="21"/>
        <v>2153</v>
      </c>
      <c r="AS78" s="7"/>
    </row>
    <row r="79" spans="1:45" ht="12.75">
      <c r="A79" s="26" t="s">
        <v>1659</v>
      </c>
      <c r="B79" s="7" t="s">
        <v>2024</v>
      </c>
      <c r="C79" t="s">
        <v>1689</v>
      </c>
      <c r="D79" s="19">
        <v>1</v>
      </c>
      <c r="E79" s="7" t="s">
        <v>1888</v>
      </c>
      <c r="F79" s="19"/>
      <c r="G79" s="4">
        <f>IF(F79&gt;0,F79,IF(PrefetchDBSummary!$C$10="B",AJ79,8))</f>
        <v>8</v>
      </c>
      <c r="H79" s="4">
        <f>PrefetchDBSummary!$C$83</f>
        <v>0</v>
      </c>
      <c r="I79" s="4">
        <f>PrefetchDBSummary!$D$78</f>
        <v>0</v>
      </c>
      <c r="J79" s="5">
        <f t="shared" si="17"/>
        <v>0</v>
      </c>
      <c r="K79" s="4">
        <f t="shared" si="18"/>
        <v>0</v>
      </c>
      <c r="L79" s="4">
        <f t="shared" si="19"/>
        <v>0</v>
      </c>
      <c r="M79" s="5">
        <f t="shared" si="20"/>
        <v>0</v>
      </c>
      <c r="N79" s="17">
        <f t="shared" si="15"/>
        <v>0</v>
      </c>
      <c r="O79" s="32">
        <f t="shared" si="16"/>
        <v>0</v>
      </c>
      <c r="AG79" t="s">
        <v>1722</v>
      </c>
      <c r="AH79" t="s">
        <v>583</v>
      </c>
      <c r="AI79">
        <v>1</v>
      </c>
      <c r="AJ79">
        <v>32</v>
      </c>
      <c r="AK79">
        <v>7</v>
      </c>
      <c r="AL79">
        <v>1</v>
      </c>
      <c r="AM79">
        <v>267</v>
      </c>
      <c r="AN79">
        <v>318</v>
      </c>
      <c r="AO79">
        <v>224</v>
      </c>
      <c r="AQ79" s="27">
        <f t="shared" si="21"/>
        <v>538.6</v>
      </c>
      <c r="AS79" s="7"/>
    </row>
    <row r="80" spans="1:45" ht="12.75">
      <c r="A80" s="26" t="s">
        <v>1659</v>
      </c>
      <c r="B80" s="7" t="s">
        <v>2024</v>
      </c>
      <c r="C80" t="s">
        <v>1690</v>
      </c>
      <c r="D80" s="19">
        <v>10</v>
      </c>
      <c r="E80" s="7" t="s">
        <v>1890</v>
      </c>
      <c r="F80" s="19"/>
      <c r="G80" s="4">
        <f>IF(F80&gt;0,F80,IF(PrefetchDBSummary!$C$10="B",AJ80,8))</f>
        <v>8</v>
      </c>
      <c r="H80" s="4">
        <f>PrefetchDBSummary!$C$83</f>
        <v>0</v>
      </c>
      <c r="I80" s="4">
        <f>PrefetchDBSummary!$D$78</f>
        <v>0</v>
      </c>
      <c r="J80" s="5">
        <f t="shared" si="17"/>
        <v>0</v>
      </c>
      <c r="K80" s="4">
        <f t="shared" si="18"/>
        <v>0</v>
      </c>
      <c r="L80" s="4">
        <f t="shared" si="19"/>
        <v>0</v>
      </c>
      <c r="M80" s="5">
        <f t="shared" si="20"/>
        <v>0</v>
      </c>
      <c r="N80" s="17">
        <f t="shared" si="15"/>
        <v>0</v>
      </c>
      <c r="O80" s="32">
        <f t="shared" si="16"/>
        <v>0</v>
      </c>
      <c r="AG80" t="s">
        <v>1723</v>
      </c>
      <c r="AH80" t="s">
        <v>583</v>
      </c>
      <c r="AI80">
        <v>1</v>
      </c>
      <c r="AJ80">
        <v>32</v>
      </c>
      <c r="AK80">
        <v>8</v>
      </c>
      <c r="AL80">
        <v>2</v>
      </c>
      <c r="AM80">
        <v>828</v>
      </c>
      <c r="AN80">
        <v>918</v>
      </c>
      <c r="AO80">
        <v>800</v>
      </c>
      <c r="AQ80" s="27">
        <f t="shared" si="21"/>
        <v>4112</v>
      </c>
      <c r="AS80" s="7"/>
    </row>
    <row r="81" spans="1:45" ht="12.75">
      <c r="A81" s="26" t="s">
        <v>1659</v>
      </c>
      <c r="B81" s="7" t="s">
        <v>2024</v>
      </c>
      <c r="C81" t="s">
        <v>1691</v>
      </c>
      <c r="D81" s="19">
        <v>10</v>
      </c>
      <c r="E81" s="7" t="s">
        <v>1895</v>
      </c>
      <c r="F81" s="19"/>
      <c r="G81" s="4">
        <f>IF(F81&gt;0,F81,IF(PrefetchDBSummary!$C$10="B",AJ81,8))</f>
        <v>8</v>
      </c>
      <c r="H81" s="4">
        <f>PrefetchDBSummary!$C$81</f>
        <v>0</v>
      </c>
      <c r="I81" s="4">
        <f>PrefetchDBSummary!$D$78</f>
        <v>0</v>
      </c>
      <c r="J81" s="5">
        <f t="shared" si="17"/>
        <v>0</v>
      </c>
      <c r="K81" s="4">
        <f t="shared" si="18"/>
        <v>0</v>
      </c>
      <c r="L81" s="4">
        <f t="shared" si="19"/>
        <v>0</v>
      </c>
      <c r="M81" s="5">
        <f t="shared" si="20"/>
        <v>0</v>
      </c>
      <c r="N81" s="17">
        <f t="shared" si="15"/>
        <v>0</v>
      </c>
      <c r="O81" s="32">
        <f t="shared" si="16"/>
        <v>0</v>
      </c>
      <c r="AG81" t="s">
        <v>1724</v>
      </c>
      <c r="AH81" t="s">
        <v>583</v>
      </c>
      <c r="AI81">
        <v>1</v>
      </c>
      <c r="AJ81">
        <v>32</v>
      </c>
      <c r="AK81">
        <v>14</v>
      </c>
      <c r="AL81">
        <v>0</v>
      </c>
      <c r="AM81">
        <v>838</v>
      </c>
      <c r="AN81">
        <v>838</v>
      </c>
      <c r="AO81">
        <v>736</v>
      </c>
      <c r="AQ81" s="27">
        <f t="shared" si="21"/>
        <v>4710</v>
      </c>
      <c r="AS81" s="7"/>
    </row>
    <row r="82" spans="1:45" ht="12.75">
      <c r="A82" s="26" t="s">
        <v>1659</v>
      </c>
      <c r="B82" s="7" t="s">
        <v>2024</v>
      </c>
      <c r="C82" t="s">
        <v>1792</v>
      </c>
      <c r="D82" s="19">
        <v>2</v>
      </c>
      <c r="E82" s="7" t="s">
        <v>1884</v>
      </c>
      <c r="F82" s="19"/>
      <c r="G82" s="4">
        <f>IF(F82&gt;0,F82,IF(PrefetchDBSummary!$C$10="B",AJ82,8))</f>
        <v>8</v>
      </c>
      <c r="H82" s="4">
        <f>PrefetchDBSummary!$C$80</f>
        <v>0</v>
      </c>
      <c r="I82" s="4">
        <f>PrefetchDBSummary!$D$78</f>
        <v>0</v>
      </c>
      <c r="J82" s="5">
        <f t="shared" si="17"/>
        <v>0</v>
      </c>
      <c r="K82" s="4">
        <f t="shared" si="18"/>
        <v>0</v>
      </c>
      <c r="L82" s="4">
        <f t="shared" si="19"/>
        <v>0</v>
      </c>
      <c r="M82" s="5">
        <f t="shared" si="20"/>
        <v>0</v>
      </c>
      <c r="N82" s="17">
        <f t="shared" si="15"/>
        <v>0</v>
      </c>
      <c r="O82" s="32">
        <f t="shared" si="16"/>
        <v>0</v>
      </c>
      <c r="AG82" t="s">
        <v>1798</v>
      </c>
      <c r="AH82" t="s">
        <v>583</v>
      </c>
      <c r="AI82">
        <v>1</v>
      </c>
      <c r="AJ82">
        <v>32</v>
      </c>
      <c r="AK82">
        <v>10</v>
      </c>
      <c r="AL82">
        <v>0</v>
      </c>
      <c r="AM82">
        <v>534</v>
      </c>
      <c r="AN82">
        <v>534</v>
      </c>
      <c r="AO82">
        <v>480</v>
      </c>
      <c r="AQ82" s="27">
        <f t="shared" si="21"/>
        <v>978</v>
      </c>
      <c r="AS82" s="7"/>
    </row>
    <row r="83" spans="1:45" ht="12.75">
      <c r="A83" s="26" t="s">
        <v>1659</v>
      </c>
      <c r="B83" s="7" t="s">
        <v>2024</v>
      </c>
      <c r="C83" t="s">
        <v>1692</v>
      </c>
      <c r="D83" s="19">
        <v>1</v>
      </c>
      <c r="E83" s="7" t="s">
        <v>710</v>
      </c>
      <c r="F83" s="19"/>
      <c r="G83" s="4">
        <f>IF(F83&gt;0,F83,IF(PrefetchDBSummary!$C$10="B",AJ83,8))</f>
        <v>8</v>
      </c>
      <c r="H83" s="4">
        <f>PrefetchDBSummary!$C$80</f>
        <v>0</v>
      </c>
      <c r="I83" s="4">
        <f>PrefetchDBSummary!$D$78</f>
        <v>0</v>
      </c>
      <c r="J83" s="5">
        <f t="shared" si="17"/>
        <v>0</v>
      </c>
      <c r="K83" s="4">
        <f t="shared" si="18"/>
        <v>0</v>
      </c>
      <c r="L83" s="4">
        <f t="shared" si="19"/>
        <v>0</v>
      </c>
      <c r="M83" s="5">
        <f t="shared" si="20"/>
        <v>0</v>
      </c>
      <c r="N83" s="17">
        <f t="shared" si="15"/>
        <v>0</v>
      </c>
      <c r="O83" s="32">
        <f t="shared" si="16"/>
        <v>0</v>
      </c>
      <c r="AG83" t="s">
        <v>1725</v>
      </c>
      <c r="AH83" t="s">
        <v>583</v>
      </c>
      <c r="AI83">
        <v>1</v>
      </c>
      <c r="AJ83">
        <v>8</v>
      </c>
      <c r="AK83">
        <v>9</v>
      </c>
      <c r="AL83">
        <v>0</v>
      </c>
      <c r="AM83">
        <v>333</v>
      </c>
      <c r="AN83">
        <v>333</v>
      </c>
      <c r="AO83">
        <v>288</v>
      </c>
      <c r="AQ83" s="27">
        <f t="shared" si="21"/>
        <v>604.2</v>
      </c>
      <c r="AS83" s="7"/>
    </row>
    <row r="84" spans="1:45" ht="12.75">
      <c r="A84" s="26" t="s">
        <v>1659</v>
      </c>
      <c r="B84" s="7" t="s">
        <v>2024</v>
      </c>
      <c r="C84" t="s">
        <v>1793</v>
      </c>
      <c r="D84" s="19">
        <v>5</v>
      </c>
      <c r="E84" s="7" t="s">
        <v>1885</v>
      </c>
      <c r="F84" s="19"/>
      <c r="G84" s="4">
        <f>IF(F84&gt;0,F84,IF(PrefetchDBSummary!$C$10="B",AJ84,8))</f>
        <v>8</v>
      </c>
      <c r="H84" s="4">
        <f>PrefetchDBSummary!$C$80</f>
        <v>0</v>
      </c>
      <c r="I84" s="4">
        <f>PrefetchDBSummary!$D$78</f>
        <v>0</v>
      </c>
      <c r="J84" s="5">
        <f t="shared" si="17"/>
        <v>0</v>
      </c>
      <c r="K84" s="4">
        <f t="shared" si="18"/>
        <v>0</v>
      </c>
      <c r="L84" s="4">
        <f t="shared" si="19"/>
        <v>0</v>
      </c>
      <c r="M84" s="5">
        <f t="shared" si="20"/>
        <v>0</v>
      </c>
      <c r="N84" s="17">
        <f t="shared" si="15"/>
        <v>0</v>
      </c>
      <c r="O84" s="32">
        <f t="shared" si="16"/>
        <v>0</v>
      </c>
      <c r="AG84" t="s">
        <v>1799</v>
      </c>
      <c r="AH84" t="s">
        <v>583</v>
      </c>
      <c r="AI84">
        <v>1</v>
      </c>
      <c r="AJ84">
        <v>32</v>
      </c>
      <c r="AK84">
        <v>8</v>
      </c>
      <c r="AL84">
        <v>0</v>
      </c>
      <c r="AM84">
        <v>396</v>
      </c>
      <c r="AN84">
        <v>396</v>
      </c>
      <c r="AO84">
        <v>352</v>
      </c>
      <c r="AQ84" s="27">
        <f t="shared" si="21"/>
        <v>1441</v>
      </c>
      <c r="AS84" s="7"/>
    </row>
    <row r="85" spans="1:45" ht="12.75">
      <c r="A85" s="26" t="s">
        <v>1659</v>
      </c>
      <c r="B85" s="7" t="s">
        <v>2024</v>
      </c>
      <c r="C85" t="s">
        <v>1794</v>
      </c>
      <c r="D85" s="19">
        <v>10</v>
      </c>
      <c r="E85" s="7" t="s">
        <v>1886</v>
      </c>
      <c r="F85" s="19"/>
      <c r="G85" s="4">
        <f>IF(F85&gt;0,F85,IF(PrefetchDBSummary!$C$10="B",AJ85,8))</f>
        <v>8</v>
      </c>
      <c r="H85" s="4">
        <f>PrefetchDBSummary!$C$80</f>
        <v>0</v>
      </c>
      <c r="I85" s="4">
        <f>PrefetchDBSummary!$D$78</f>
        <v>0</v>
      </c>
      <c r="J85" s="5">
        <f t="shared" si="17"/>
        <v>0</v>
      </c>
      <c r="K85" s="4">
        <f t="shared" si="18"/>
        <v>0</v>
      </c>
      <c r="L85" s="4">
        <f t="shared" si="19"/>
        <v>0</v>
      </c>
      <c r="M85" s="5">
        <f t="shared" si="20"/>
        <v>0</v>
      </c>
      <c r="N85" s="17">
        <f t="shared" si="15"/>
        <v>0</v>
      </c>
      <c r="O85" s="32">
        <f t="shared" si="16"/>
        <v>0</v>
      </c>
      <c r="AG85" t="s">
        <v>1800</v>
      </c>
      <c r="AH85" t="s">
        <v>583</v>
      </c>
      <c r="AI85">
        <v>1</v>
      </c>
      <c r="AJ85">
        <v>32</v>
      </c>
      <c r="AK85">
        <v>10</v>
      </c>
      <c r="AL85">
        <v>0</v>
      </c>
      <c r="AM85">
        <v>546</v>
      </c>
      <c r="AN85">
        <v>546</v>
      </c>
      <c r="AO85">
        <v>480</v>
      </c>
      <c r="AQ85" s="27">
        <f t="shared" si="21"/>
        <v>3250</v>
      </c>
      <c r="AS85" s="7"/>
    </row>
    <row r="86" spans="1:45" ht="12.75">
      <c r="A86" s="26" t="s">
        <v>1659</v>
      </c>
      <c r="B86" s="7" t="s">
        <v>2024</v>
      </c>
      <c r="C86" t="s">
        <v>1795</v>
      </c>
      <c r="D86" s="19">
        <v>4</v>
      </c>
      <c r="E86" s="7" t="s">
        <v>1887</v>
      </c>
      <c r="F86" s="19"/>
      <c r="G86" s="4">
        <f>IF(F86&gt;0,F86,IF(PrefetchDBSummary!$C$10="B",AJ86,8))</f>
        <v>8</v>
      </c>
      <c r="H86" s="4">
        <f>PrefetchDBSummary!$C$80</f>
        <v>0</v>
      </c>
      <c r="I86" s="4">
        <f>PrefetchDBSummary!$D$78</f>
        <v>0</v>
      </c>
      <c r="J86" s="5">
        <f t="shared" si="17"/>
        <v>0</v>
      </c>
      <c r="K86" s="4">
        <f t="shared" si="18"/>
        <v>0</v>
      </c>
      <c r="L86" s="4">
        <f t="shared" si="19"/>
        <v>0</v>
      </c>
      <c r="M86" s="5">
        <f t="shared" si="20"/>
        <v>0</v>
      </c>
      <c r="N86" s="17">
        <f t="shared" si="15"/>
        <v>0</v>
      </c>
      <c r="O86" s="32">
        <f t="shared" si="16"/>
        <v>0</v>
      </c>
      <c r="AG86" t="s">
        <v>1801</v>
      </c>
      <c r="AH86" t="s">
        <v>583</v>
      </c>
      <c r="AI86">
        <v>1</v>
      </c>
      <c r="AJ86">
        <v>32</v>
      </c>
      <c r="AK86">
        <v>9</v>
      </c>
      <c r="AL86">
        <v>0</v>
      </c>
      <c r="AM86">
        <v>505</v>
      </c>
      <c r="AN86">
        <v>505</v>
      </c>
      <c r="AO86">
        <v>480</v>
      </c>
      <c r="AQ86" s="27">
        <f t="shared" si="21"/>
        <v>1381</v>
      </c>
      <c r="AS86" s="7"/>
    </row>
    <row r="87" spans="1:46" ht="12" customHeight="1">
      <c r="A87" s="18" t="s">
        <v>428</v>
      </c>
      <c r="B87" s="18" t="s">
        <v>2027</v>
      </c>
      <c r="C87" t="s">
        <v>419</v>
      </c>
      <c r="D87" s="19">
        <v>1</v>
      </c>
      <c r="E87" s="7" t="s">
        <v>713</v>
      </c>
      <c r="F87" s="19"/>
      <c r="G87" s="4">
        <f>IF(F87&gt;0,F87,IF(PrefetchDBSummary!$C$10="B",AJ87,8))</f>
        <v>8</v>
      </c>
      <c r="H87" s="4">
        <f>PrefetchDBSummary!$C$17</f>
        <v>0</v>
      </c>
      <c r="I87" s="4">
        <f>PrefetchDBSummary!$D$17</f>
        <v>0</v>
      </c>
      <c r="J87" s="5">
        <f t="shared" si="17"/>
        <v>0</v>
      </c>
      <c r="K87" s="4">
        <f t="shared" si="18"/>
        <v>0</v>
      </c>
      <c r="L87" s="4">
        <f t="shared" si="19"/>
        <v>0</v>
      </c>
      <c r="M87" s="5">
        <f t="shared" si="20"/>
        <v>0</v>
      </c>
      <c r="N87" s="17">
        <f t="shared" si="15"/>
        <v>0</v>
      </c>
      <c r="O87" s="32">
        <f t="shared" si="16"/>
        <v>0</v>
      </c>
      <c r="AG87" t="s">
        <v>436</v>
      </c>
      <c r="AH87" t="s">
        <v>583</v>
      </c>
      <c r="AI87">
        <v>1</v>
      </c>
      <c r="AJ87">
        <v>8</v>
      </c>
      <c r="AK87">
        <v>6</v>
      </c>
      <c r="AL87">
        <v>0</v>
      </c>
      <c r="AM87">
        <v>594</v>
      </c>
      <c r="AN87">
        <v>594</v>
      </c>
      <c r="AO87">
        <v>576</v>
      </c>
      <c r="AP87" s="47">
        <v>0.703125</v>
      </c>
      <c r="AQ87" s="27">
        <f t="shared" si="21"/>
        <v>576</v>
      </c>
      <c r="AS87" s="7"/>
      <c r="AT87" s="7"/>
    </row>
    <row r="88" spans="1:46" ht="12.75">
      <c r="A88" s="18" t="s">
        <v>428</v>
      </c>
      <c r="B88" s="18" t="s">
        <v>2027</v>
      </c>
      <c r="C88" t="s">
        <v>194</v>
      </c>
      <c r="D88" s="19">
        <v>1</v>
      </c>
      <c r="E88" s="7" t="str">
        <f>IF(AH88="S","Always one row per interval","")</f>
        <v>Always one row per interval</v>
      </c>
      <c r="F88" s="19"/>
      <c r="G88" s="4">
        <f>IF(F88&gt;0,F88,IF(PrefetchDBSummary!$C$10="B",AJ88,8))</f>
        <v>8</v>
      </c>
      <c r="H88" s="4">
        <f>PrefetchDBSummary!$C$17</f>
        <v>0</v>
      </c>
      <c r="I88" s="4">
        <f>PrefetchDBSummary!$D$17</f>
        <v>0</v>
      </c>
      <c r="J88" s="5">
        <f t="shared" si="17"/>
        <v>0</v>
      </c>
      <c r="K88" s="4">
        <f t="shared" si="18"/>
        <v>0</v>
      </c>
      <c r="L88" s="4">
        <f t="shared" si="19"/>
        <v>0</v>
      </c>
      <c r="M88" s="5">
        <f t="shared" si="20"/>
        <v>0</v>
      </c>
      <c r="N88" s="17">
        <f t="shared" si="15"/>
        <v>0</v>
      </c>
      <c r="O88" s="32">
        <f t="shared" si="16"/>
        <v>0</v>
      </c>
      <c r="AG88" t="s">
        <v>195</v>
      </c>
      <c r="AH88" t="s">
        <v>582</v>
      </c>
      <c r="AI88">
        <v>1</v>
      </c>
      <c r="AJ88">
        <v>32</v>
      </c>
      <c r="AK88">
        <v>2</v>
      </c>
      <c r="AL88">
        <v>1</v>
      </c>
      <c r="AM88">
        <v>38</v>
      </c>
      <c r="AN88">
        <v>77</v>
      </c>
      <c r="AO88">
        <v>32</v>
      </c>
      <c r="AP88" s="47">
        <v>0.9555921052631579</v>
      </c>
      <c r="AQ88" s="27">
        <f t="shared" si="21"/>
        <v>318.42105263157896</v>
      </c>
      <c r="AS88" s="7"/>
      <c r="AT88" s="7"/>
    </row>
    <row r="89" spans="1:46" ht="12.75">
      <c r="A89" s="18" t="s">
        <v>428</v>
      </c>
      <c r="B89" s="18" t="s">
        <v>2027</v>
      </c>
      <c r="C89" t="s">
        <v>418</v>
      </c>
      <c r="D89" s="19">
        <v>42</v>
      </c>
      <c r="E89" s="7" t="s">
        <v>719</v>
      </c>
      <c r="F89" s="19"/>
      <c r="G89" s="4">
        <f>IF(F89&gt;0,F89,IF(PrefetchDBSummary!$C$10="B",AJ89,8))</f>
        <v>8</v>
      </c>
      <c r="H89" s="4">
        <f>PrefetchDBSummary!$C$17</f>
        <v>0</v>
      </c>
      <c r="I89" s="4">
        <f>PrefetchDBSummary!$D$17</f>
        <v>0</v>
      </c>
      <c r="J89" s="5">
        <f t="shared" si="17"/>
        <v>0</v>
      </c>
      <c r="K89" s="4">
        <f t="shared" si="18"/>
        <v>0</v>
      </c>
      <c r="L89" s="4">
        <f t="shared" si="19"/>
        <v>0</v>
      </c>
      <c r="M89" s="5">
        <f t="shared" si="20"/>
        <v>0</v>
      </c>
      <c r="N89" s="17">
        <f t="shared" si="15"/>
        <v>0</v>
      </c>
      <c r="O89" s="32">
        <f t="shared" si="16"/>
        <v>0</v>
      </c>
      <c r="AG89" t="s">
        <v>437</v>
      </c>
      <c r="AH89" t="s">
        <v>583</v>
      </c>
      <c r="AI89">
        <v>1</v>
      </c>
      <c r="AJ89">
        <v>8</v>
      </c>
      <c r="AK89">
        <v>3</v>
      </c>
      <c r="AL89">
        <v>0</v>
      </c>
      <c r="AM89">
        <v>547</v>
      </c>
      <c r="AN89">
        <v>547</v>
      </c>
      <c r="AO89">
        <v>544</v>
      </c>
      <c r="AP89" s="47">
        <v>0.7109375</v>
      </c>
      <c r="AQ89" s="27">
        <f t="shared" si="21"/>
        <v>8003.5</v>
      </c>
      <c r="AS89" s="1"/>
      <c r="AT89" s="7"/>
    </row>
    <row r="90" spans="1:46" ht="12.75">
      <c r="A90" s="18" t="s">
        <v>428</v>
      </c>
      <c r="B90" s="18" t="s">
        <v>2027</v>
      </c>
      <c r="C90" t="s">
        <v>202</v>
      </c>
      <c r="D90" s="19">
        <v>5</v>
      </c>
      <c r="E90" s="7" t="s">
        <v>717</v>
      </c>
      <c r="F90" s="19"/>
      <c r="G90" s="4">
        <f>IF(F90&gt;0,F90,IF(PrefetchDBSummary!$C$10="B",AJ90,8))</f>
        <v>8</v>
      </c>
      <c r="H90" s="4">
        <f>PrefetchDBSummary!$C$17</f>
        <v>0</v>
      </c>
      <c r="I90" s="4">
        <f>PrefetchDBSummary!$D$17</f>
        <v>0</v>
      </c>
      <c r="J90" s="5">
        <f t="shared" si="17"/>
        <v>0</v>
      </c>
      <c r="K90" s="4">
        <f t="shared" si="18"/>
        <v>0</v>
      </c>
      <c r="L90" s="4">
        <f t="shared" si="19"/>
        <v>0</v>
      </c>
      <c r="M90" s="5">
        <f t="shared" si="20"/>
        <v>0</v>
      </c>
      <c r="N90" s="17">
        <f t="shared" si="15"/>
        <v>0</v>
      </c>
      <c r="O90" s="32">
        <f t="shared" si="16"/>
        <v>0</v>
      </c>
      <c r="AG90" t="s">
        <v>203</v>
      </c>
      <c r="AH90" t="s">
        <v>583</v>
      </c>
      <c r="AI90">
        <v>1</v>
      </c>
      <c r="AJ90">
        <v>8</v>
      </c>
      <c r="AK90">
        <v>4</v>
      </c>
      <c r="AL90">
        <v>0</v>
      </c>
      <c r="AM90">
        <v>94</v>
      </c>
      <c r="AN90">
        <v>94</v>
      </c>
      <c r="AO90">
        <v>82</v>
      </c>
      <c r="AP90" s="47">
        <v>1</v>
      </c>
      <c r="AQ90" s="27">
        <f t="shared" si="21"/>
        <v>501</v>
      </c>
      <c r="AS90" s="7"/>
      <c r="AT90" s="7"/>
    </row>
    <row r="91" spans="1:43" ht="12.75">
      <c r="A91" s="18" t="s">
        <v>428</v>
      </c>
      <c r="B91" s="18" t="s">
        <v>2027</v>
      </c>
      <c r="C91" t="s">
        <v>208</v>
      </c>
      <c r="D91" s="19">
        <v>1</v>
      </c>
      <c r="E91" s="7" t="str">
        <f>IF(AH91="S","Always one row per interval","")</f>
        <v>Always one row per interval</v>
      </c>
      <c r="F91" s="19"/>
      <c r="G91" s="4">
        <f>IF(F91&gt;0,F91,IF(PrefetchDBSummary!$C$10="B",AJ91,8))</f>
        <v>8</v>
      </c>
      <c r="H91" s="4">
        <f>PrefetchDBSummary!$C$17</f>
        <v>0</v>
      </c>
      <c r="I91" s="4">
        <f>PrefetchDBSummary!$D$17</f>
        <v>0</v>
      </c>
      <c r="J91" s="5">
        <f t="shared" si="17"/>
        <v>0</v>
      </c>
      <c r="K91" s="4">
        <f t="shared" si="18"/>
        <v>0</v>
      </c>
      <c r="L91" s="4">
        <f t="shared" si="19"/>
        <v>0</v>
      </c>
      <c r="M91" s="5">
        <f t="shared" si="20"/>
        <v>0</v>
      </c>
      <c r="N91" s="17">
        <f t="shared" si="15"/>
        <v>0</v>
      </c>
      <c r="O91" s="32">
        <f t="shared" si="16"/>
        <v>0</v>
      </c>
      <c r="AG91" t="s">
        <v>209</v>
      </c>
      <c r="AH91" t="s">
        <v>582</v>
      </c>
      <c r="AI91">
        <v>1</v>
      </c>
      <c r="AJ91">
        <v>32</v>
      </c>
      <c r="AK91">
        <v>2</v>
      </c>
      <c r="AL91">
        <v>1</v>
      </c>
      <c r="AM91">
        <v>38</v>
      </c>
      <c r="AN91">
        <v>77</v>
      </c>
      <c r="AO91">
        <v>32</v>
      </c>
      <c r="AP91" s="47">
        <v>0.9375</v>
      </c>
      <c r="AQ91" s="27">
        <f t="shared" si="21"/>
        <v>319</v>
      </c>
    </row>
    <row r="92" spans="1:43" ht="12.75">
      <c r="A92" s="18" t="s">
        <v>428</v>
      </c>
      <c r="B92" s="18" t="s">
        <v>2027</v>
      </c>
      <c r="C92" t="s">
        <v>210</v>
      </c>
      <c r="D92" s="19">
        <v>1</v>
      </c>
      <c r="E92" s="7" t="str">
        <f>IF(AH92="S","Always one row per interval","")</f>
        <v>Always one row per interval</v>
      </c>
      <c r="F92" s="19"/>
      <c r="G92" s="4">
        <f>IF(F92&gt;0,F92,IF(PrefetchDBSummary!$C$10="B",AJ92,8))</f>
        <v>8</v>
      </c>
      <c r="H92" s="4">
        <f>PrefetchDBSummary!$C$17</f>
        <v>0</v>
      </c>
      <c r="I92" s="4">
        <f>PrefetchDBSummary!$D$17</f>
        <v>0</v>
      </c>
      <c r="J92" s="5">
        <f t="shared" si="17"/>
        <v>0</v>
      </c>
      <c r="K92" s="4">
        <f t="shared" si="18"/>
        <v>0</v>
      </c>
      <c r="L92" s="4">
        <f t="shared" si="19"/>
        <v>0</v>
      </c>
      <c r="M92" s="5">
        <f t="shared" si="20"/>
        <v>0</v>
      </c>
      <c r="N92" s="17">
        <f t="shared" si="15"/>
        <v>0</v>
      </c>
      <c r="O92" s="32">
        <f t="shared" si="16"/>
        <v>0</v>
      </c>
      <c r="AG92" t="s">
        <v>211</v>
      </c>
      <c r="AH92" t="s">
        <v>582</v>
      </c>
      <c r="AI92">
        <v>1</v>
      </c>
      <c r="AJ92">
        <v>8</v>
      </c>
      <c r="AK92">
        <v>5</v>
      </c>
      <c r="AL92">
        <v>0</v>
      </c>
      <c r="AM92">
        <v>353</v>
      </c>
      <c r="AN92">
        <v>353</v>
      </c>
      <c r="AO92">
        <v>338</v>
      </c>
      <c r="AP92" s="47">
        <v>0.72265625</v>
      </c>
      <c r="AQ92" s="27">
        <f t="shared" si="21"/>
        <v>476.7421875</v>
      </c>
    </row>
    <row r="93" spans="1:43" ht="12.75">
      <c r="A93" s="18" t="s">
        <v>428</v>
      </c>
      <c r="B93" s="18" t="s">
        <v>2027</v>
      </c>
      <c r="C93" t="s">
        <v>200</v>
      </c>
      <c r="D93" s="19">
        <v>3</v>
      </c>
      <c r="E93" s="7" t="s">
        <v>716</v>
      </c>
      <c r="F93" s="19"/>
      <c r="G93" s="4">
        <f>IF(F93&gt;0,F93,IF(PrefetchDBSummary!$C$10="B",AJ93,8))</f>
        <v>8</v>
      </c>
      <c r="H93" s="4">
        <f>PrefetchDBSummary!$C$17</f>
        <v>0</v>
      </c>
      <c r="I93" s="4">
        <f>PrefetchDBSummary!$D$17</f>
        <v>0</v>
      </c>
      <c r="J93" s="5">
        <f t="shared" si="17"/>
        <v>0</v>
      </c>
      <c r="K93" s="4">
        <f t="shared" si="18"/>
        <v>0</v>
      </c>
      <c r="L93" s="4">
        <f t="shared" si="19"/>
        <v>0</v>
      </c>
      <c r="M93" s="5">
        <f t="shared" si="20"/>
        <v>0</v>
      </c>
      <c r="N93" s="17">
        <f t="shared" si="15"/>
        <v>0</v>
      </c>
      <c r="O93" s="32">
        <f t="shared" si="16"/>
        <v>0</v>
      </c>
      <c r="AG93" t="s">
        <v>201</v>
      </c>
      <c r="AH93" t="s">
        <v>583</v>
      </c>
      <c r="AI93">
        <v>1</v>
      </c>
      <c r="AJ93">
        <v>32</v>
      </c>
      <c r="AK93">
        <v>5</v>
      </c>
      <c r="AL93">
        <v>1</v>
      </c>
      <c r="AM93">
        <v>309</v>
      </c>
      <c r="AN93">
        <v>352</v>
      </c>
      <c r="AO93">
        <v>288</v>
      </c>
      <c r="AP93" s="47">
        <v>0.79125</v>
      </c>
      <c r="AQ93" s="27">
        <f t="shared" si="21"/>
        <v>657.36</v>
      </c>
    </row>
    <row r="94" spans="1:43" ht="12.75">
      <c r="A94" s="18" t="s">
        <v>428</v>
      </c>
      <c r="B94" s="18" t="s">
        <v>2027</v>
      </c>
      <c r="C94" t="s">
        <v>196</v>
      </c>
      <c r="D94" s="19">
        <v>3</v>
      </c>
      <c r="E94" s="7" t="s">
        <v>714</v>
      </c>
      <c r="F94" s="19"/>
      <c r="G94" s="4">
        <f>IF(F94&gt;0,F94,IF(PrefetchDBSummary!$C$10="B",AJ94,8))</f>
        <v>8</v>
      </c>
      <c r="H94" s="4">
        <f>PrefetchDBSummary!$C$17</f>
        <v>0</v>
      </c>
      <c r="I94" s="4">
        <f>PrefetchDBSummary!$D$17</f>
        <v>0</v>
      </c>
      <c r="J94" s="5">
        <f t="shared" si="17"/>
        <v>0</v>
      </c>
      <c r="K94" s="4">
        <f t="shared" si="18"/>
        <v>0</v>
      </c>
      <c r="L94" s="4">
        <f t="shared" si="19"/>
        <v>0</v>
      </c>
      <c r="M94" s="5">
        <f t="shared" si="20"/>
        <v>0</v>
      </c>
      <c r="N94" s="17">
        <f t="shared" si="15"/>
        <v>0</v>
      </c>
      <c r="O94" s="32">
        <f t="shared" si="16"/>
        <v>0</v>
      </c>
      <c r="AG94" t="s">
        <v>197</v>
      </c>
      <c r="AH94" t="s">
        <v>583</v>
      </c>
      <c r="AI94">
        <v>1</v>
      </c>
      <c r="AJ94">
        <v>8</v>
      </c>
      <c r="AK94">
        <v>6</v>
      </c>
      <c r="AL94">
        <v>1</v>
      </c>
      <c r="AM94">
        <v>566</v>
      </c>
      <c r="AN94">
        <v>609</v>
      </c>
      <c r="AO94">
        <v>544</v>
      </c>
      <c r="AP94" s="47">
        <v>0.8046875</v>
      </c>
      <c r="AQ94" s="27">
        <f t="shared" si="21"/>
        <v>817.75</v>
      </c>
    </row>
    <row r="95" spans="1:43" ht="12.75">
      <c r="A95" s="18" t="s">
        <v>428</v>
      </c>
      <c r="B95" s="18" t="s">
        <v>2027</v>
      </c>
      <c r="C95" t="s">
        <v>1040</v>
      </c>
      <c r="D95" s="19">
        <v>1</v>
      </c>
      <c r="E95" s="7" t="s">
        <v>721</v>
      </c>
      <c r="F95" s="19"/>
      <c r="G95" s="4">
        <f>IF(F95&gt;0,F95,IF(PrefetchDBSummary!$C$10="B",AJ95,8))</f>
        <v>8</v>
      </c>
      <c r="H95" s="4">
        <f>PrefetchDBSummary!$C$17</f>
        <v>0</v>
      </c>
      <c r="I95" s="4">
        <f>PrefetchDBSummary!$D$17</f>
        <v>0</v>
      </c>
      <c r="J95" s="5">
        <f t="shared" si="17"/>
        <v>0</v>
      </c>
      <c r="K95" s="4">
        <f t="shared" si="18"/>
        <v>0</v>
      </c>
      <c r="L95" s="4">
        <f t="shared" si="19"/>
        <v>0</v>
      </c>
      <c r="M95" s="5">
        <f t="shared" si="20"/>
        <v>0</v>
      </c>
      <c r="N95" s="17">
        <f t="shared" si="15"/>
        <v>0</v>
      </c>
      <c r="O95" s="32">
        <f t="shared" si="16"/>
        <v>0</v>
      </c>
      <c r="AG95" t="s">
        <v>1043</v>
      </c>
      <c r="AH95" t="s">
        <v>583</v>
      </c>
      <c r="AI95">
        <v>1</v>
      </c>
      <c r="AJ95">
        <v>8</v>
      </c>
      <c r="AK95">
        <v>4</v>
      </c>
      <c r="AL95">
        <v>0</v>
      </c>
      <c r="AM95">
        <v>194</v>
      </c>
      <c r="AN95">
        <v>194</v>
      </c>
      <c r="AO95">
        <v>190</v>
      </c>
      <c r="AP95" s="47">
        <v>0.8046875</v>
      </c>
      <c r="AQ95" s="27">
        <f t="shared" si="21"/>
        <v>390.109375</v>
      </c>
    </row>
    <row r="96" spans="1:43" ht="12.75">
      <c r="A96" s="18" t="s">
        <v>428</v>
      </c>
      <c r="B96" s="18" t="s">
        <v>2027</v>
      </c>
      <c r="C96" t="s">
        <v>212</v>
      </c>
      <c r="D96" s="19">
        <v>1</v>
      </c>
      <c r="E96" s="7" t="str">
        <f>IF(AH96="S","Always one row per interval","")</f>
        <v>Always one row per interval</v>
      </c>
      <c r="F96" s="19"/>
      <c r="G96" s="4">
        <f>IF(F96&gt;0,F96,IF(PrefetchDBSummary!$C$10="B",AJ96,8))</f>
        <v>8</v>
      </c>
      <c r="H96" s="4">
        <f>PrefetchDBSummary!$C$17</f>
        <v>0</v>
      </c>
      <c r="I96" s="4">
        <f>PrefetchDBSummary!$D$17</f>
        <v>0</v>
      </c>
      <c r="J96" s="5">
        <f t="shared" si="17"/>
        <v>0</v>
      </c>
      <c r="K96" s="4">
        <f t="shared" si="18"/>
        <v>0</v>
      </c>
      <c r="L96" s="4">
        <f t="shared" si="19"/>
        <v>0</v>
      </c>
      <c r="M96" s="5">
        <f t="shared" si="20"/>
        <v>0</v>
      </c>
      <c r="N96" s="17">
        <f t="shared" si="15"/>
        <v>0</v>
      </c>
      <c r="O96" s="32">
        <f t="shared" si="16"/>
        <v>0</v>
      </c>
      <c r="AG96" t="s">
        <v>213</v>
      </c>
      <c r="AH96" t="s">
        <v>582</v>
      </c>
      <c r="AI96">
        <v>1</v>
      </c>
      <c r="AJ96">
        <v>32</v>
      </c>
      <c r="AK96">
        <v>2</v>
      </c>
      <c r="AL96">
        <v>1</v>
      </c>
      <c r="AM96">
        <v>38</v>
      </c>
      <c r="AN96">
        <v>77</v>
      </c>
      <c r="AO96">
        <v>32</v>
      </c>
      <c r="AP96" s="47">
        <v>0.95703125</v>
      </c>
      <c r="AQ96" s="27">
        <f t="shared" si="21"/>
        <v>318.375</v>
      </c>
    </row>
    <row r="97" spans="1:43" ht="12" customHeight="1">
      <c r="A97" s="18" t="s">
        <v>428</v>
      </c>
      <c r="B97" s="18" t="s">
        <v>2027</v>
      </c>
      <c r="C97" t="s">
        <v>422</v>
      </c>
      <c r="D97" s="19">
        <v>2</v>
      </c>
      <c r="E97" s="7" t="s">
        <v>720</v>
      </c>
      <c r="F97" s="19"/>
      <c r="G97" s="4">
        <f>IF(F97&gt;0,F97,IF(PrefetchDBSummary!$C$10="B",AJ97,8))</f>
        <v>8</v>
      </c>
      <c r="H97" s="4">
        <f>PrefetchDBSummary!$C$17</f>
        <v>0</v>
      </c>
      <c r="I97" s="4">
        <f>PrefetchDBSummary!$D$17</f>
        <v>0</v>
      </c>
      <c r="J97" s="5">
        <f t="shared" si="17"/>
        <v>0</v>
      </c>
      <c r="K97" s="4">
        <f t="shared" si="18"/>
        <v>0</v>
      </c>
      <c r="L97" s="4">
        <f t="shared" si="19"/>
        <v>0</v>
      </c>
      <c r="M97" s="5">
        <f t="shared" si="20"/>
        <v>0</v>
      </c>
      <c r="N97" s="17">
        <f t="shared" si="15"/>
        <v>0</v>
      </c>
      <c r="O97" s="32">
        <f t="shared" si="16"/>
        <v>0</v>
      </c>
      <c r="AG97" t="s">
        <v>438</v>
      </c>
      <c r="AH97" t="s">
        <v>583</v>
      </c>
      <c r="AI97">
        <v>8</v>
      </c>
      <c r="AJ97">
        <v>8</v>
      </c>
      <c r="AK97">
        <v>5</v>
      </c>
      <c r="AL97">
        <v>2</v>
      </c>
      <c r="AM97">
        <v>309</v>
      </c>
      <c r="AN97">
        <v>395</v>
      </c>
      <c r="AO97">
        <v>288</v>
      </c>
      <c r="AP97" s="47">
        <v>0.828125</v>
      </c>
      <c r="AQ97" s="27">
        <f t="shared" si="21"/>
        <v>532</v>
      </c>
    </row>
    <row r="98" spans="1:43" ht="12" customHeight="1">
      <c r="A98" s="18" t="s">
        <v>428</v>
      </c>
      <c r="B98" s="18" t="s">
        <v>2027</v>
      </c>
      <c r="C98" t="s">
        <v>1390</v>
      </c>
      <c r="D98" s="19">
        <v>2</v>
      </c>
      <c r="E98" s="7" t="s">
        <v>720</v>
      </c>
      <c r="F98" s="19"/>
      <c r="G98" s="4">
        <f>IF(F98&gt;0,F98,IF(PrefetchDBSummary!$C$10="B",AJ98,8))</f>
        <v>8</v>
      </c>
      <c r="H98" s="4">
        <f>PrefetchDBSummary!$C$17</f>
        <v>0</v>
      </c>
      <c r="I98" s="4">
        <f>PrefetchDBSummary!$D$17</f>
        <v>0</v>
      </c>
      <c r="J98" s="5">
        <f t="shared" si="17"/>
        <v>0</v>
      </c>
      <c r="K98" s="4">
        <f t="shared" si="18"/>
        <v>0</v>
      </c>
      <c r="L98" s="4">
        <f t="shared" si="19"/>
        <v>0</v>
      </c>
      <c r="M98" s="5">
        <f t="shared" si="20"/>
        <v>0</v>
      </c>
      <c r="N98" s="17">
        <f t="shared" si="15"/>
        <v>0</v>
      </c>
      <c r="O98" s="32">
        <f t="shared" si="16"/>
        <v>0</v>
      </c>
      <c r="AG98" t="s">
        <v>1391</v>
      </c>
      <c r="AH98" t="s">
        <v>583</v>
      </c>
      <c r="AI98">
        <v>8</v>
      </c>
      <c r="AJ98">
        <v>8</v>
      </c>
      <c r="AK98">
        <v>6</v>
      </c>
      <c r="AL98">
        <v>0</v>
      </c>
      <c r="AM98">
        <v>582</v>
      </c>
      <c r="AN98">
        <v>582</v>
      </c>
      <c r="AO98">
        <v>576</v>
      </c>
      <c r="AP98" s="47">
        <v>0.828125</v>
      </c>
      <c r="AQ98" s="27">
        <f t="shared" si="21"/>
        <v>620</v>
      </c>
    </row>
    <row r="99" spans="1:43" ht="12.75">
      <c r="A99" s="18" t="s">
        <v>428</v>
      </c>
      <c r="B99" s="18" t="s">
        <v>2027</v>
      </c>
      <c r="C99" t="s">
        <v>206</v>
      </c>
      <c r="D99" s="19">
        <v>4</v>
      </c>
      <c r="E99" s="7" t="s">
        <v>718</v>
      </c>
      <c r="F99" s="19"/>
      <c r="G99" s="4">
        <f>IF(F99&gt;0,F99,IF(PrefetchDBSummary!$C$10="B",AJ99,8))</f>
        <v>8</v>
      </c>
      <c r="H99" s="4">
        <f>PrefetchDBSummary!$C$17</f>
        <v>0</v>
      </c>
      <c r="I99" s="4">
        <f>PrefetchDBSummary!$D$17</f>
        <v>0</v>
      </c>
      <c r="J99" s="5">
        <f t="shared" si="17"/>
        <v>0</v>
      </c>
      <c r="K99" s="4">
        <f t="shared" si="18"/>
        <v>0</v>
      </c>
      <c r="L99" s="4">
        <f t="shared" si="19"/>
        <v>0</v>
      </c>
      <c r="M99" s="5">
        <f t="shared" si="20"/>
        <v>0</v>
      </c>
      <c r="N99" s="17">
        <f t="shared" si="15"/>
        <v>0</v>
      </c>
      <c r="O99" s="32">
        <f t="shared" si="16"/>
        <v>0</v>
      </c>
      <c r="AG99" t="s">
        <v>207</v>
      </c>
      <c r="AH99" t="s">
        <v>583</v>
      </c>
      <c r="AI99">
        <v>1</v>
      </c>
      <c r="AJ99">
        <v>8</v>
      </c>
      <c r="AK99">
        <v>4</v>
      </c>
      <c r="AL99">
        <v>1</v>
      </c>
      <c r="AM99">
        <v>68</v>
      </c>
      <c r="AN99">
        <v>111</v>
      </c>
      <c r="AO99">
        <v>52</v>
      </c>
      <c r="AP99" s="47">
        <v>0.9756756756756757</v>
      </c>
      <c r="AQ99" s="27">
        <f t="shared" si="21"/>
        <v>487.05945945945945</v>
      </c>
    </row>
    <row r="100" spans="1:43" ht="12.75">
      <c r="A100" s="18" t="s">
        <v>428</v>
      </c>
      <c r="B100" s="18" t="s">
        <v>2027</v>
      </c>
      <c r="C100" t="s">
        <v>204</v>
      </c>
      <c r="D100" s="19">
        <v>4</v>
      </c>
      <c r="E100" s="7" t="s">
        <v>718</v>
      </c>
      <c r="F100" s="19"/>
      <c r="G100" s="4">
        <f>IF(F100&gt;0,F100,IF(PrefetchDBSummary!$C$10="B",AJ100,8))</f>
        <v>8</v>
      </c>
      <c r="H100" s="4">
        <f>PrefetchDBSummary!$C$17</f>
        <v>0</v>
      </c>
      <c r="I100" s="4">
        <f>PrefetchDBSummary!$D$17</f>
        <v>0</v>
      </c>
      <c r="J100" s="5">
        <f t="shared" si="17"/>
        <v>0</v>
      </c>
      <c r="K100" s="4">
        <f t="shared" si="18"/>
        <v>0</v>
      </c>
      <c r="L100" s="4">
        <f t="shared" si="19"/>
        <v>0</v>
      </c>
      <c r="M100" s="5">
        <f t="shared" si="20"/>
        <v>0</v>
      </c>
      <c r="N100" s="17">
        <f t="shared" si="15"/>
        <v>0</v>
      </c>
      <c r="O100" s="32">
        <f t="shared" si="16"/>
        <v>0</v>
      </c>
      <c r="AG100" t="s">
        <v>205</v>
      </c>
      <c r="AH100" t="s">
        <v>583</v>
      </c>
      <c r="AI100">
        <v>1</v>
      </c>
      <c r="AJ100">
        <v>32</v>
      </c>
      <c r="AK100">
        <v>4</v>
      </c>
      <c r="AL100">
        <v>1</v>
      </c>
      <c r="AM100">
        <v>68</v>
      </c>
      <c r="AN100">
        <v>111</v>
      </c>
      <c r="AO100">
        <v>52</v>
      </c>
      <c r="AP100" s="47">
        <v>0.9272813688212928</v>
      </c>
      <c r="AQ100" s="27">
        <f t="shared" si="21"/>
        <v>497.1254752851711</v>
      </c>
    </row>
    <row r="101" spans="1:43" ht="12.75">
      <c r="A101" s="18" t="s">
        <v>428</v>
      </c>
      <c r="B101" s="18" t="s">
        <v>2027</v>
      </c>
      <c r="C101" t="s">
        <v>614</v>
      </c>
      <c r="D101" s="19">
        <v>1</v>
      </c>
      <c r="E101" s="7" t="s">
        <v>721</v>
      </c>
      <c r="F101" s="19"/>
      <c r="G101" s="4">
        <f>IF(F101&gt;0,F101,IF(PrefetchDBSummary!$C$10="B",AJ101,8))</f>
        <v>8</v>
      </c>
      <c r="H101" s="4">
        <f>PrefetchDBSummary!$C$17</f>
        <v>0</v>
      </c>
      <c r="I101" s="4">
        <f>PrefetchDBSummary!$D$17</f>
        <v>0</v>
      </c>
      <c r="J101" s="5">
        <f t="shared" si="17"/>
        <v>0</v>
      </c>
      <c r="K101" s="4">
        <f t="shared" si="18"/>
        <v>0</v>
      </c>
      <c r="L101" s="4">
        <f t="shared" si="19"/>
        <v>0</v>
      </c>
      <c r="M101" s="5">
        <f t="shared" si="20"/>
        <v>0</v>
      </c>
      <c r="N101" s="17">
        <f t="shared" si="15"/>
        <v>0</v>
      </c>
      <c r="O101" s="32">
        <f t="shared" si="16"/>
        <v>0</v>
      </c>
      <c r="AG101" t="s">
        <v>613</v>
      </c>
      <c r="AH101" t="s">
        <v>583</v>
      </c>
      <c r="AI101">
        <v>1</v>
      </c>
      <c r="AJ101">
        <v>8</v>
      </c>
      <c r="AK101">
        <v>2</v>
      </c>
      <c r="AL101">
        <v>1</v>
      </c>
      <c r="AM101">
        <v>38</v>
      </c>
      <c r="AN101">
        <v>77</v>
      </c>
      <c r="AO101">
        <v>32</v>
      </c>
      <c r="AP101" s="47">
        <v>0.72265625</v>
      </c>
      <c r="AQ101" s="27">
        <f t="shared" si="21"/>
        <v>325.875</v>
      </c>
    </row>
    <row r="102" spans="1:43" ht="12.75">
      <c r="A102" s="18" t="s">
        <v>428</v>
      </c>
      <c r="B102" s="18" t="s">
        <v>2027</v>
      </c>
      <c r="C102" t="s">
        <v>421</v>
      </c>
      <c r="D102" s="19">
        <v>5</v>
      </c>
      <c r="E102" s="7" t="s">
        <v>715</v>
      </c>
      <c r="F102" s="19"/>
      <c r="G102" s="4">
        <f>IF(F102&gt;0,F102,IF(PrefetchDBSummary!$C$10="B",AJ102,8))</f>
        <v>8</v>
      </c>
      <c r="H102" s="4">
        <f>PrefetchDBSummary!$C$17</f>
        <v>0</v>
      </c>
      <c r="I102" s="4">
        <f>PrefetchDBSummary!$D$17</f>
        <v>0</v>
      </c>
      <c r="J102" s="5">
        <f t="shared" si="17"/>
        <v>0</v>
      </c>
      <c r="K102" s="4">
        <f t="shared" si="18"/>
        <v>0</v>
      </c>
      <c r="L102" s="4">
        <f t="shared" si="19"/>
        <v>0</v>
      </c>
      <c r="M102" s="5">
        <f t="shared" si="20"/>
        <v>0</v>
      </c>
      <c r="N102" s="17">
        <f t="shared" si="15"/>
        <v>0</v>
      </c>
      <c r="O102" s="32">
        <f t="shared" si="16"/>
        <v>0</v>
      </c>
      <c r="AG102" t="s">
        <v>439</v>
      </c>
      <c r="AH102" t="s">
        <v>583</v>
      </c>
      <c r="AI102">
        <v>1</v>
      </c>
      <c r="AJ102">
        <v>8</v>
      </c>
      <c r="AK102">
        <v>4</v>
      </c>
      <c r="AL102">
        <v>1</v>
      </c>
      <c r="AM102">
        <v>300</v>
      </c>
      <c r="AN102">
        <v>343</v>
      </c>
      <c r="AO102">
        <v>288</v>
      </c>
      <c r="AP102" s="47">
        <v>0.82734375</v>
      </c>
      <c r="AQ102" s="27">
        <f t="shared" si="21"/>
        <v>749.625</v>
      </c>
    </row>
    <row r="103" spans="1:43" ht="12.75">
      <c r="A103" s="18" t="s">
        <v>428</v>
      </c>
      <c r="B103" s="18" t="s">
        <v>2027</v>
      </c>
      <c r="C103" t="s">
        <v>198</v>
      </c>
      <c r="D103" s="19">
        <v>13</v>
      </c>
      <c r="E103" s="7" t="s">
        <v>715</v>
      </c>
      <c r="F103" s="19"/>
      <c r="G103" s="4">
        <f>IF(F103&gt;0,F103,IF(PrefetchDBSummary!$C$10="B",AJ103,8))</f>
        <v>8</v>
      </c>
      <c r="H103" s="4">
        <f>PrefetchDBSummary!$C$17</f>
        <v>0</v>
      </c>
      <c r="I103" s="4">
        <f>PrefetchDBSummary!$D$17</f>
        <v>0</v>
      </c>
      <c r="J103" s="5">
        <f t="shared" si="17"/>
        <v>0</v>
      </c>
      <c r="K103" s="4">
        <f t="shared" si="18"/>
        <v>0</v>
      </c>
      <c r="L103" s="4">
        <f t="shared" si="19"/>
        <v>0</v>
      </c>
      <c r="M103" s="5">
        <f t="shared" si="20"/>
        <v>0</v>
      </c>
      <c r="N103" s="17">
        <f t="shared" si="15"/>
        <v>0</v>
      </c>
      <c r="O103" s="32">
        <f t="shared" si="16"/>
        <v>0</v>
      </c>
      <c r="AG103" t="s">
        <v>199</v>
      </c>
      <c r="AH103" t="s">
        <v>583</v>
      </c>
      <c r="AI103">
        <v>1</v>
      </c>
      <c r="AJ103">
        <v>8</v>
      </c>
      <c r="AK103">
        <v>6</v>
      </c>
      <c r="AL103">
        <v>0</v>
      </c>
      <c r="AM103">
        <v>356</v>
      </c>
      <c r="AN103">
        <v>356</v>
      </c>
      <c r="AO103">
        <v>338</v>
      </c>
      <c r="AP103" s="47">
        <v>0.625</v>
      </c>
      <c r="AQ103" s="27">
        <f t="shared" si="21"/>
        <v>2544.75</v>
      </c>
    </row>
    <row r="104" spans="1:43" ht="12.75">
      <c r="A104" s="18" t="s">
        <v>428</v>
      </c>
      <c r="B104" s="18" t="s">
        <v>2027</v>
      </c>
      <c r="C104" t="s">
        <v>420</v>
      </c>
      <c r="D104" s="19">
        <v>5</v>
      </c>
      <c r="E104" s="7" t="s">
        <v>711</v>
      </c>
      <c r="F104" s="19"/>
      <c r="G104" s="4">
        <f>IF(F104&gt;0,F104,IF(PrefetchDBSummary!$C$10="B",AJ104,8))</f>
        <v>8</v>
      </c>
      <c r="H104" s="4">
        <f>PrefetchDBSummary!$C$17</f>
        <v>0</v>
      </c>
      <c r="I104" s="4">
        <f>PrefetchDBSummary!$D$17</f>
        <v>0</v>
      </c>
      <c r="J104" s="5">
        <f t="shared" si="17"/>
        <v>0</v>
      </c>
      <c r="K104" s="4">
        <f t="shared" si="18"/>
        <v>0</v>
      </c>
      <c r="L104" s="4">
        <f t="shared" si="19"/>
        <v>0</v>
      </c>
      <c r="M104" s="5">
        <f t="shared" si="20"/>
        <v>0</v>
      </c>
      <c r="N104" s="17">
        <f t="shared" si="15"/>
        <v>0</v>
      </c>
      <c r="O104" s="32">
        <f t="shared" si="16"/>
        <v>0</v>
      </c>
      <c r="AG104" t="s">
        <v>440</v>
      </c>
      <c r="AH104" t="s">
        <v>583</v>
      </c>
      <c r="AI104">
        <v>8</v>
      </c>
      <c r="AJ104">
        <v>8</v>
      </c>
      <c r="AK104">
        <v>4</v>
      </c>
      <c r="AL104">
        <v>1</v>
      </c>
      <c r="AM104">
        <v>300</v>
      </c>
      <c r="AN104">
        <v>343</v>
      </c>
      <c r="AO104">
        <v>288</v>
      </c>
      <c r="AP104" s="47">
        <v>0.83671875</v>
      </c>
      <c r="AQ104" s="27">
        <f t="shared" si="21"/>
        <v>736.125</v>
      </c>
    </row>
    <row r="105" spans="1:43" ht="12.75">
      <c r="A105" s="18" t="s">
        <v>428</v>
      </c>
      <c r="B105" s="18" t="s">
        <v>2027</v>
      </c>
      <c r="C105" t="s">
        <v>214</v>
      </c>
      <c r="D105" s="19">
        <v>1</v>
      </c>
      <c r="E105" s="7" t="str">
        <f>IF(AH105="S","Always one row per interval","")</f>
        <v>Always one row per interval</v>
      </c>
      <c r="F105" s="19"/>
      <c r="G105" s="4">
        <f>IF(F105&gt;0,F105,IF(PrefetchDBSummary!$C$10="B",AJ105,8))</f>
        <v>8</v>
      </c>
      <c r="H105" s="4">
        <f>PrefetchDBSummary!$C$17</f>
        <v>0</v>
      </c>
      <c r="I105" s="4">
        <f>PrefetchDBSummary!$D$17</f>
        <v>0</v>
      </c>
      <c r="J105" s="5">
        <f t="shared" si="17"/>
        <v>0</v>
      </c>
      <c r="K105" s="4">
        <f t="shared" si="18"/>
        <v>0</v>
      </c>
      <c r="L105" s="4">
        <f t="shared" si="19"/>
        <v>0</v>
      </c>
      <c r="M105" s="5">
        <f t="shared" si="20"/>
        <v>0</v>
      </c>
      <c r="N105" s="17">
        <f t="shared" si="15"/>
        <v>0</v>
      </c>
      <c r="O105" s="32">
        <f t="shared" si="16"/>
        <v>0</v>
      </c>
      <c r="AG105" t="s">
        <v>215</v>
      </c>
      <c r="AH105" t="s">
        <v>582</v>
      </c>
      <c r="AI105">
        <v>1</v>
      </c>
      <c r="AJ105">
        <v>32</v>
      </c>
      <c r="AK105">
        <v>3</v>
      </c>
      <c r="AL105">
        <v>2</v>
      </c>
      <c r="AM105">
        <v>47</v>
      </c>
      <c r="AN105">
        <v>129</v>
      </c>
      <c r="AO105">
        <v>32</v>
      </c>
      <c r="AP105" s="47">
        <v>0.9296875</v>
      </c>
      <c r="AQ105" s="27">
        <f t="shared" si="21"/>
        <v>347.25</v>
      </c>
    </row>
    <row r="106" spans="1:43" ht="12.75">
      <c r="A106" s="18" t="s">
        <v>428</v>
      </c>
      <c r="B106" s="18" t="s">
        <v>2027</v>
      </c>
      <c r="C106" t="s">
        <v>1041</v>
      </c>
      <c r="D106" s="19">
        <v>1</v>
      </c>
      <c r="E106" s="7" t="str">
        <f>IF(AH106="S","Always one row per interval","")</f>
        <v>Always one row per interval</v>
      </c>
      <c r="F106" s="19"/>
      <c r="G106" s="4">
        <f>IF(F106&gt;0,F106,IF(PrefetchDBSummary!$C$10="B",AJ106,8))</f>
        <v>8</v>
      </c>
      <c r="H106" s="4">
        <f>PrefetchDBSummary!$C$17</f>
        <v>0</v>
      </c>
      <c r="I106" s="4">
        <f>PrefetchDBSummary!$D$17</f>
        <v>0</v>
      </c>
      <c r="J106" s="5">
        <f t="shared" si="17"/>
        <v>0</v>
      </c>
      <c r="K106" s="4">
        <f t="shared" si="18"/>
        <v>0</v>
      </c>
      <c r="L106" s="4">
        <f t="shared" si="19"/>
        <v>0</v>
      </c>
      <c r="M106" s="5">
        <f t="shared" si="20"/>
        <v>0</v>
      </c>
      <c r="N106" s="17">
        <f t="shared" si="15"/>
        <v>0</v>
      </c>
      <c r="O106" s="32">
        <f t="shared" si="16"/>
        <v>0</v>
      </c>
      <c r="AG106" t="s">
        <v>1044</v>
      </c>
      <c r="AH106" t="s">
        <v>582</v>
      </c>
      <c r="AI106">
        <v>1</v>
      </c>
      <c r="AJ106">
        <v>8</v>
      </c>
      <c r="AK106">
        <v>7</v>
      </c>
      <c r="AL106">
        <v>6</v>
      </c>
      <c r="AM106">
        <v>87</v>
      </c>
      <c r="AN106">
        <v>345</v>
      </c>
      <c r="AO106">
        <v>32</v>
      </c>
      <c r="AP106" s="47">
        <v>0.9296875</v>
      </c>
      <c r="AQ106" s="27">
        <f t="shared" si="21"/>
        <v>463.25</v>
      </c>
    </row>
    <row r="107" spans="1:43" ht="12.75">
      <c r="A107" s="18" t="s">
        <v>428</v>
      </c>
      <c r="B107" s="18" t="s">
        <v>2027</v>
      </c>
      <c r="C107" t="s">
        <v>1042</v>
      </c>
      <c r="D107" s="60">
        <f>PrefetchDBSummary!$E$17</f>
        <v>6000</v>
      </c>
      <c r="E107" s="7" t="s">
        <v>1268</v>
      </c>
      <c r="F107" s="19"/>
      <c r="G107" s="4">
        <f>IF(F107&gt;0,F107,IF(PrefetchDBSummary!$C$10="B",AJ107,8))</f>
        <v>8</v>
      </c>
      <c r="H107" s="4">
        <f>PrefetchDBSummary!$C$17</f>
        <v>0</v>
      </c>
      <c r="I107" s="4">
        <f>PrefetchDBSummary!$D$17</f>
        <v>0</v>
      </c>
      <c r="J107" s="5">
        <f t="shared" si="17"/>
        <v>0</v>
      </c>
      <c r="K107" s="4">
        <f t="shared" si="18"/>
        <v>0</v>
      </c>
      <c r="L107" s="4">
        <f t="shared" si="19"/>
        <v>0</v>
      </c>
      <c r="M107" s="5">
        <f t="shared" si="20"/>
        <v>0</v>
      </c>
      <c r="N107" s="17">
        <f t="shared" si="15"/>
        <v>0</v>
      </c>
      <c r="O107" s="32">
        <f t="shared" si="16"/>
        <v>0</v>
      </c>
      <c r="AG107" t="s">
        <v>1045</v>
      </c>
      <c r="AH107" t="s">
        <v>583</v>
      </c>
      <c r="AI107">
        <v>15</v>
      </c>
      <c r="AJ107">
        <v>8</v>
      </c>
      <c r="AK107">
        <v>9</v>
      </c>
      <c r="AL107">
        <v>0</v>
      </c>
      <c r="AM107">
        <v>421</v>
      </c>
      <c r="AN107">
        <v>421</v>
      </c>
      <c r="AO107">
        <v>388</v>
      </c>
      <c r="AP107" s="47">
        <v>0.9296875</v>
      </c>
      <c r="AQ107" s="27">
        <f t="shared" si="21"/>
        <v>500108.5</v>
      </c>
    </row>
    <row r="108" spans="1:43" ht="12.75">
      <c r="A108" s="18" t="s">
        <v>2077</v>
      </c>
      <c r="B108" s="7" t="s">
        <v>2150</v>
      </c>
      <c r="C108" t="s">
        <v>2078</v>
      </c>
      <c r="D108" s="19"/>
      <c r="E108" s="7" t="s">
        <v>2093</v>
      </c>
      <c r="F108" s="19"/>
      <c r="G108" s="4">
        <f>IF(F108&gt;0,F108,IF(PrefetchDBSummary!$C$10="B",AJ108,8))</f>
        <v>8</v>
      </c>
      <c r="H108" s="4">
        <f>PrefetchDBSummary!$C$43</f>
        <v>0</v>
      </c>
      <c r="I108" s="4">
        <f>PrefetchDBSummary!$D$43</f>
        <v>0</v>
      </c>
      <c r="J108" s="5">
        <f aca="true" t="shared" si="22" ref="J108:J114">IF(H108&gt;0,(AQ108)/(AI108*60),IF(I108&gt;0,(AQ108)/(5*60),0))</f>
        <v>0</v>
      </c>
      <c r="K108" s="4">
        <f aca="true" t="shared" si="23" ref="K108:K114">IF(H108&gt;0,D108/AI108,IF(I108&gt;0,D108/5,0))</f>
        <v>0</v>
      </c>
      <c r="L108" s="4">
        <f aca="true" t="shared" si="24" ref="L108:L114">H108*D108/AI108+I108*D108/5</f>
        <v>0</v>
      </c>
      <c r="M108" s="5">
        <f aca="true" t="shared" si="25" ref="M108:M114">L108*AM108*(1-IF(AP108&gt;0,AP108,$AS$2)*$AS$3)/1024</f>
        <v>0</v>
      </c>
      <c r="N108" s="17">
        <f aca="true" t="shared" si="26" ref="N108:N114">L108*60*24*IF(G108&gt;0,G108,(G108))</f>
        <v>0</v>
      </c>
      <c r="O108" s="32">
        <f aca="true" t="shared" si="27" ref="O108:O114">N108*($AM108-$AO108*IF($AP108&gt;0,1-$AP108,1-$AS$2))*(1-$AS$3)/1024/1024</f>
        <v>0</v>
      </c>
      <c r="AG108" t="s">
        <v>2085</v>
      </c>
      <c r="AH108" t="s">
        <v>583</v>
      </c>
      <c r="AI108">
        <v>1</v>
      </c>
      <c r="AJ108">
        <v>32</v>
      </c>
      <c r="AK108">
        <v>8</v>
      </c>
      <c r="AL108">
        <v>2</v>
      </c>
      <c r="AM108">
        <v>90</v>
      </c>
      <c r="AN108">
        <v>168</v>
      </c>
      <c r="AO108">
        <v>49</v>
      </c>
      <c r="AP108" s="47"/>
      <c r="AQ108" s="27">
        <f aca="true" t="shared" si="28" ref="AQ108:AQ114">250+19*AK108+D108*(23+(AM108-AO108)+AO108*(1-IF(AP108&gt;0,AP108,$AS$2)))</f>
        <v>402</v>
      </c>
    </row>
    <row r="109" spans="1:43" ht="12.75">
      <c r="A109" s="18" t="s">
        <v>2077</v>
      </c>
      <c r="B109" s="7" t="s">
        <v>2150</v>
      </c>
      <c r="C109" t="s">
        <v>2079</v>
      </c>
      <c r="D109" s="19">
        <v>1</v>
      </c>
      <c r="E109" s="7" t="str">
        <f>IF(AH109="S","Always one row per interval","")</f>
        <v>Always one row per interval</v>
      </c>
      <c r="F109" s="19"/>
      <c r="G109" s="4">
        <f>IF(F109&gt;0,F109,IF(PrefetchDBSummary!$C$10="B",AJ109,8))</f>
        <v>8</v>
      </c>
      <c r="H109" s="4">
        <f>PrefetchDBSummary!$C$43</f>
        <v>0</v>
      </c>
      <c r="I109" s="4">
        <f>PrefetchDBSummary!$D$43</f>
        <v>0</v>
      </c>
      <c r="J109" s="5">
        <f t="shared" si="22"/>
        <v>0</v>
      </c>
      <c r="K109" s="4">
        <f t="shared" si="23"/>
        <v>0</v>
      </c>
      <c r="L109" s="4">
        <f t="shared" si="24"/>
        <v>0</v>
      </c>
      <c r="M109" s="5">
        <f t="shared" si="25"/>
        <v>0</v>
      </c>
      <c r="N109" s="17">
        <f t="shared" si="26"/>
        <v>0</v>
      </c>
      <c r="O109" s="32">
        <f t="shared" si="27"/>
        <v>0</v>
      </c>
      <c r="AG109" t="s">
        <v>2086</v>
      </c>
      <c r="AH109" t="s">
        <v>582</v>
      </c>
      <c r="AI109">
        <v>1</v>
      </c>
      <c r="AJ109">
        <v>32</v>
      </c>
      <c r="AK109">
        <v>13</v>
      </c>
      <c r="AL109">
        <v>0</v>
      </c>
      <c r="AM109">
        <v>85</v>
      </c>
      <c r="AN109">
        <v>85</v>
      </c>
      <c r="AO109">
        <v>32</v>
      </c>
      <c r="AP109" s="47"/>
      <c r="AQ109" s="27">
        <f t="shared" si="28"/>
        <v>585.8</v>
      </c>
    </row>
    <row r="110" spans="1:43" ht="12.75">
      <c r="A110" s="18" t="s">
        <v>2077</v>
      </c>
      <c r="B110" s="7" t="s">
        <v>2150</v>
      </c>
      <c r="C110" t="s">
        <v>2080</v>
      </c>
      <c r="D110" s="19">
        <v>1</v>
      </c>
      <c r="E110" s="7" t="str">
        <f>IF(AH110="S","Always one row per interval","")</f>
        <v>Always one row per interval</v>
      </c>
      <c r="F110" s="19"/>
      <c r="G110" s="4">
        <f>IF(F110&gt;0,F110,IF(PrefetchDBSummary!$C$10="B",AJ110,8))</f>
        <v>8</v>
      </c>
      <c r="H110" s="4">
        <f>PrefetchDBSummary!$C$43</f>
        <v>0</v>
      </c>
      <c r="I110" s="4">
        <f>PrefetchDBSummary!$D$43</f>
        <v>0</v>
      </c>
      <c r="J110" s="5">
        <f t="shared" si="22"/>
        <v>0</v>
      </c>
      <c r="K110" s="4">
        <f t="shared" si="23"/>
        <v>0</v>
      </c>
      <c r="L110" s="4">
        <f t="shared" si="24"/>
        <v>0</v>
      </c>
      <c r="M110" s="5">
        <f t="shared" si="25"/>
        <v>0</v>
      </c>
      <c r="N110" s="17">
        <f t="shared" si="26"/>
        <v>0</v>
      </c>
      <c r="O110" s="32">
        <f t="shared" si="27"/>
        <v>0</v>
      </c>
      <c r="AG110" t="s">
        <v>2087</v>
      </c>
      <c r="AH110" t="s">
        <v>582</v>
      </c>
      <c r="AI110">
        <v>1</v>
      </c>
      <c r="AJ110">
        <v>32</v>
      </c>
      <c r="AK110">
        <v>24</v>
      </c>
      <c r="AL110">
        <v>0</v>
      </c>
      <c r="AM110">
        <v>170</v>
      </c>
      <c r="AN110">
        <v>170</v>
      </c>
      <c r="AO110">
        <v>32</v>
      </c>
      <c r="AP110" s="47"/>
      <c r="AQ110" s="27">
        <f t="shared" si="28"/>
        <v>879.8</v>
      </c>
    </row>
    <row r="111" spans="1:43" ht="12.75">
      <c r="A111" s="18" t="s">
        <v>2077</v>
      </c>
      <c r="B111" s="7" t="s">
        <v>2150</v>
      </c>
      <c r="C111" t="s">
        <v>2083</v>
      </c>
      <c r="D111" s="19">
        <v>1</v>
      </c>
      <c r="E111" s="7" t="str">
        <f>IF(AH111="S","Always one row per interval","")</f>
        <v>Always one row per interval</v>
      </c>
      <c r="F111" s="19"/>
      <c r="G111" s="4">
        <f>IF(F111&gt;0,F111,IF(PrefetchDBSummary!$C$10="B",AJ111,8))</f>
        <v>8</v>
      </c>
      <c r="H111" s="4">
        <f>PrefetchDBSummary!$C$43</f>
        <v>0</v>
      </c>
      <c r="I111" s="4">
        <f>PrefetchDBSummary!$D$43</f>
        <v>0</v>
      </c>
      <c r="J111" s="5">
        <f t="shared" si="22"/>
        <v>0</v>
      </c>
      <c r="K111" s="4">
        <f t="shared" si="23"/>
        <v>0</v>
      </c>
      <c r="L111" s="4">
        <f t="shared" si="24"/>
        <v>0</v>
      </c>
      <c r="M111" s="5">
        <f t="shared" si="25"/>
        <v>0</v>
      </c>
      <c r="N111" s="17">
        <f t="shared" si="26"/>
        <v>0</v>
      </c>
      <c r="O111" s="32">
        <f t="shared" si="27"/>
        <v>0</v>
      </c>
      <c r="AG111" t="s">
        <v>2090</v>
      </c>
      <c r="AH111" t="s">
        <v>582</v>
      </c>
      <c r="AI111">
        <v>1</v>
      </c>
      <c r="AJ111">
        <v>32</v>
      </c>
      <c r="AK111">
        <v>20</v>
      </c>
      <c r="AL111">
        <v>0</v>
      </c>
      <c r="AM111">
        <v>129</v>
      </c>
      <c r="AN111">
        <v>129</v>
      </c>
      <c r="AO111">
        <v>32</v>
      </c>
      <c r="AP111" s="47"/>
      <c r="AQ111" s="27">
        <f t="shared" si="28"/>
        <v>762.8</v>
      </c>
    </row>
    <row r="112" spans="1:43" ht="12.75">
      <c r="A112" s="18" t="s">
        <v>2077</v>
      </c>
      <c r="B112" s="7" t="s">
        <v>2150</v>
      </c>
      <c r="C112" t="s">
        <v>2081</v>
      </c>
      <c r="D112" s="19">
        <v>1</v>
      </c>
      <c r="E112" s="7" t="str">
        <f>IF(AH112="S","Always one row per interval","")</f>
        <v>Always one row per interval</v>
      </c>
      <c r="F112" s="19"/>
      <c r="G112" s="4">
        <f>IF(F112&gt;0,F112,IF(PrefetchDBSummary!$C$10="B",AJ112,8))</f>
        <v>8</v>
      </c>
      <c r="H112" s="4">
        <f>PrefetchDBSummary!$C$43</f>
        <v>0</v>
      </c>
      <c r="I112" s="4">
        <f>PrefetchDBSummary!$D$43</f>
        <v>0</v>
      </c>
      <c r="J112" s="5">
        <f t="shared" si="22"/>
        <v>0</v>
      </c>
      <c r="K112" s="4">
        <f t="shared" si="23"/>
        <v>0</v>
      </c>
      <c r="L112" s="4">
        <f t="shared" si="24"/>
        <v>0</v>
      </c>
      <c r="M112" s="5">
        <f t="shared" si="25"/>
        <v>0</v>
      </c>
      <c r="N112" s="17">
        <f t="shared" si="26"/>
        <v>0</v>
      </c>
      <c r="O112" s="32">
        <f t="shared" si="27"/>
        <v>0</v>
      </c>
      <c r="AG112" t="s">
        <v>2088</v>
      </c>
      <c r="AH112" t="s">
        <v>582</v>
      </c>
      <c r="AI112">
        <v>1</v>
      </c>
      <c r="AJ112">
        <v>32</v>
      </c>
      <c r="AK112">
        <v>19</v>
      </c>
      <c r="AL112">
        <v>10</v>
      </c>
      <c r="AM112">
        <v>166</v>
      </c>
      <c r="AN112">
        <v>544</v>
      </c>
      <c r="AO112">
        <v>32</v>
      </c>
      <c r="AP112" s="47"/>
      <c r="AQ112" s="27">
        <f t="shared" si="28"/>
        <v>780.8</v>
      </c>
    </row>
    <row r="113" spans="1:43" ht="12.75">
      <c r="A113" s="18" t="s">
        <v>2077</v>
      </c>
      <c r="B113" s="7" t="s">
        <v>2150</v>
      </c>
      <c r="C113" t="s">
        <v>2084</v>
      </c>
      <c r="D113" s="19">
        <v>1</v>
      </c>
      <c r="E113" s="7">
        <f>IF(AH113="S","Always one row per interval","")</f>
      </c>
      <c r="F113" s="19"/>
      <c r="G113" s="4">
        <f>IF(F113&gt;0,F113,IF(PrefetchDBSummary!$C$10="B",AJ113,8))</f>
        <v>8</v>
      </c>
      <c r="H113" s="4">
        <f>PrefetchDBSummary!$C$43</f>
        <v>0</v>
      </c>
      <c r="I113" s="4">
        <f>PrefetchDBSummary!$D$43</f>
        <v>0</v>
      </c>
      <c r="J113" s="5">
        <f t="shared" si="22"/>
        <v>0</v>
      </c>
      <c r="K113" s="4">
        <f t="shared" si="23"/>
        <v>0</v>
      </c>
      <c r="L113" s="4">
        <f t="shared" si="24"/>
        <v>0</v>
      </c>
      <c r="M113" s="5">
        <f t="shared" si="25"/>
        <v>0</v>
      </c>
      <c r="N113" s="17">
        <f t="shared" si="26"/>
        <v>0</v>
      </c>
      <c r="O113" s="32">
        <f t="shared" si="27"/>
        <v>0</v>
      </c>
      <c r="AG113" t="s">
        <v>2091</v>
      </c>
      <c r="AH113" t="s">
        <v>583</v>
      </c>
      <c r="AI113">
        <v>1</v>
      </c>
      <c r="AJ113">
        <v>32</v>
      </c>
      <c r="AK113">
        <v>30</v>
      </c>
      <c r="AL113">
        <v>22</v>
      </c>
      <c r="AM113">
        <v>250</v>
      </c>
      <c r="AN113">
        <v>1144</v>
      </c>
      <c r="AO113">
        <v>32</v>
      </c>
      <c r="AP113" s="47"/>
      <c r="AQ113" s="27">
        <f t="shared" si="28"/>
        <v>1073.8</v>
      </c>
    </row>
    <row r="114" spans="1:43" ht="12.75">
      <c r="A114" s="18" t="s">
        <v>2077</v>
      </c>
      <c r="B114" s="7" t="s">
        <v>2150</v>
      </c>
      <c r="C114" t="s">
        <v>2082</v>
      </c>
      <c r="D114" s="19">
        <v>14</v>
      </c>
      <c r="E114" s="7" t="s">
        <v>2092</v>
      </c>
      <c r="F114" s="19"/>
      <c r="G114" s="4">
        <f>IF(F114&gt;0,F114,IF(PrefetchDBSummary!$C$10="B",AJ114,8))</f>
        <v>8</v>
      </c>
      <c r="H114" s="4">
        <f>PrefetchDBSummary!$C$43</f>
        <v>0</v>
      </c>
      <c r="I114" s="4">
        <f>PrefetchDBSummary!$D$43</f>
        <v>0</v>
      </c>
      <c r="J114" s="5">
        <f t="shared" si="22"/>
        <v>0</v>
      </c>
      <c r="K114" s="4">
        <f t="shared" si="23"/>
        <v>0</v>
      </c>
      <c r="L114" s="4">
        <f t="shared" si="24"/>
        <v>0</v>
      </c>
      <c r="M114" s="5">
        <f t="shared" si="25"/>
        <v>0</v>
      </c>
      <c r="N114" s="17">
        <f t="shared" si="26"/>
        <v>0</v>
      </c>
      <c r="O114" s="32">
        <f t="shared" si="27"/>
        <v>0</v>
      </c>
      <c r="AG114" t="s">
        <v>2089</v>
      </c>
      <c r="AH114" t="s">
        <v>583</v>
      </c>
      <c r="AI114">
        <v>1</v>
      </c>
      <c r="AJ114">
        <v>32</v>
      </c>
      <c r="AK114">
        <v>4</v>
      </c>
      <c r="AL114">
        <v>0</v>
      </c>
      <c r="AM114">
        <v>42</v>
      </c>
      <c r="AN114">
        <v>42</v>
      </c>
      <c r="AO114">
        <v>32</v>
      </c>
      <c r="AP114" s="47"/>
      <c r="AQ114" s="27">
        <f t="shared" si="28"/>
        <v>967.1999999999999</v>
      </c>
    </row>
    <row r="115" spans="1:43" ht="12.75">
      <c r="A115" t="s">
        <v>615</v>
      </c>
      <c r="B115" s="7" t="s">
        <v>644</v>
      </c>
      <c r="C115" t="s">
        <v>616</v>
      </c>
      <c r="D115" s="19">
        <v>1</v>
      </c>
      <c r="E115" s="7" t="s">
        <v>722</v>
      </c>
      <c r="F115" s="19"/>
      <c r="G115" s="4">
        <f>IF(F115&gt;0,F115,IF(PrefetchDBSummary!$C$10="B",AJ115,8))</f>
        <v>8</v>
      </c>
      <c r="H115" s="4">
        <f>PrefetchDBSummary!$C$72</f>
        <v>0</v>
      </c>
      <c r="I115" s="4">
        <f>PrefetchDBSummary!$D$72</f>
        <v>0</v>
      </c>
      <c r="J115" s="5">
        <f t="shared" si="17"/>
        <v>0</v>
      </c>
      <c r="K115" s="4">
        <f t="shared" si="18"/>
        <v>0</v>
      </c>
      <c r="L115" s="4">
        <f t="shared" si="19"/>
        <v>0</v>
      </c>
      <c r="M115" s="5">
        <f t="shared" si="20"/>
        <v>0</v>
      </c>
      <c r="N115" s="17">
        <f t="shared" si="15"/>
        <v>0</v>
      </c>
      <c r="O115" s="32">
        <f t="shared" si="16"/>
        <v>0</v>
      </c>
      <c r="AG115" t="s">
        <v>617</v>
      </c>
      <c r="AH115" t="s">
        <v>583</v>
      </c>
      <c r="AI115">
        <v>1</v>
      </c>
      <c r="AJ115">
        <v>8</v>
      </c>
      <c r="AK115">
        <v>6</v>
      </c>
      <c r="AL115">
        <v>1</v>
      </c>
      <c r="AM115">
        <v>938</v>
      </c>
      <c r="AN115">
        <v>953</v>
      </c>
      <c r="AO115">
        <v>928</v>
      </c>
      <c r="AP115" s="47"/>
      <c r="AQ115" s="27">
        <f t="shared" si="21"/>
        <v>768.2</v>
      </c>
    </row>
    <row r="116" spans="1:43" ht="12.75">
      <c r="A116" t="s">
        <v>615</v>
      </c>
      <c r="B116" s="7" t="s">
        <v>644</v>
      </c>
      <c r="C116" t="s">
        <v>618</v>
      </c>
      <c r="D116" s="19">
        <v>2</v>
      </c>
      <c r="E116" s="7" t="s">
        <v>723</v>
      </c>
      <c r="F116" s="19"/>
      <c r="G116" s="4">
        <f>IF(F116&gt;0,F116,IF(PrefetchDBSummary!$C$10="B",AJ116,8))</f>
        <v>8</v>
      </c>
      <c r="H116" s="4">
        <f>PrefetchDBSummary!$C$72</f>
        <v>0</v>
      </c>
      <c r="I116" s="4">
        <f>PrefetchDBSummary!$D$72</f>
        <v>0</v>
      </c>
      <c r="J116" s="5">
        <f t="shared" si="17"/>
        <v>0</v>
      </c>
      <c r="K116" s="4">
        <f t="shared" si="18"/>
        <v>0</v>
      </c>
      <c r="L116" s="4">
        <f t="shared" si="19"/>
        <v>0</v>
      </c>
      <c r="M116" s="5">
        <f t="shared" si="20"/>
        <v>0</v>
      </c>
      <c r="N116" s="17">
        <f t="shared" si="15"/>
        <v>0</v>
      </c>
      <c r="O116" s="32">
        <f t="shared" si="16"/>
        <v>0</v>
      </c>
      <c r="AG116" t="s">
        <v>619</v>
      </c>
      <c r="AH116" t="s">
        <v>583</v>
      </c>
      <c r="AI116">
        <v>1</v>
      </c>
      <c r="AJ116">
        <v>8</v>
      </c>
      <c r="AK116">
        <v>7</v>
      </c>
      <c r="AL116">
        <v>1</v>
      </c>
      <c r="AM116">
        <v>1195</v>
      </c>
      <c r="AN116">
        <v>1210</v>
      </c>
      <c r="AO116">
        <v>1184</v>
      </c>
      <c r="AP116" s="47"/>
      <c r="AQ116" s="27">
        <f t="shared" si="21"/>
        <v>1398.2</v>
      </c>
    </row>
    <row r="117" spans="1:43" ht="12.75">
      <c r="A117" t="s">
        <v>615</v>
      </c>
      <c r="B117" s="7" t="s">
        <v>644</v>
      </c>
      <c r="C117" t="s">
        <v>620</v>
      </c>
      <c r="D117" s="19">
        <v>1</v>
      </c>
      <c r="E117" s="7" t="str">
        <f>IF(AH117="S","Always one row per interval","")</f>
        <v>Always one row per interval</v>
      </c>
      <c r="F117" s="19"/>
      <c r="G117" s="4">
        <f>IF(F117&gt;0,F117,IF(PrefetchDBSummary!$C$10="B",AJ117,8))</f>
        <v>8</v>
      </c>
      <c r="H117" s="4">
        <f>PrefetchDBSummary!$C$72</f>
        <v>0</v>
      </c>
      <c r="I117" s="4">
        <f>PrefetchDBSummary!$D$72</f>
        <v>0</v>
      </c>
      <c r="J117" s="5">
        <f t="shared" si="17"/>
        <v>0</v>
      </c>
      <c r="K117" s="4">
        <f t="shared" si="18"/>
        <v>0</v>
      </c>
      <c r="L117" s="4">
        <f t="shared" si="19"/>
        <v>0</v>
      </c>
      <c r="M117" s="5">
        <f t="shared" si="20"/>
        <v>0</v>
      </c>
      <c r="N117" s="17">
        <f t="shared" si="15"/>
        <v>0</v>
      </c>
      <c r="O117" s="32">
        <f t="shared" si="16"/>
        <v>0</v>
      </c>
      <c r="AG117" t="s">
        <v>621</v>
      </c>
      <c r="AH117" t="s">
        <v>582</v>
      </c>
      <c r="AI117">
        <v>1</v>
      </c>
      <c r="AJ117">
        <v>32</v>
      </c>
      <c r="AK117">
        <v>11</v>
      </c>
      <c r="AL117">
        <v>2</v>
      </c>
      <c r="AM117">
        <v>1203</v>
      </c>
      <c r="AN117">
        <v>1233</v>
      </c>
      <c r="AO117">
        <v>1184</v>
      </c>
      <c r="AP117" s="47"/>
      <c r="AQ117" s="27">
        <f t="shared" si="21"/>
        <v>974.6</v>
      </c>
    </row>
    <row r="118" spans="1:43" ht="12.75">
      <c r="A118" t="s">
        <v>615</v>
      </c>
      <c r="B118" s="7" t="s">
        <v>644</v>
      </c>
      <c r="C118" t="s">
        <v>622</v>
      </c>
      <c r="D118" s="19">
        <v>1</v>
      </c>
      <c r="E118" s="7" t="str">
        <f>IF(AH118="S","Always one row per interval","")</f>
        <v>Always one row per interval</v>
      </c>
      <c r="F118" s="19"/>
      <c r="G118" s="4">
        <f>IF(F118&gt;0,F118,IF(PrefetchDBSummary!$C$10="B",AJ118,8))</f>
        <v>8</v>
      </c>
      <c r="H118" s="4">
        <f>PrefetchDBSummary!$C$72</f>
        <v>0</v>
      </c>
      <c r="I118" s="4">
        <f>PrefetchDBSummary!$D$72</f>
        <v>0</v>
      </c>
      <c r="J118" s="5">
        <f t="shared" si="17"/>
        <v>0</v>
      </c>
      <c r="K118" s="4">
        <f t="shared" si="18"/>
        <v>0</v>
      </c>
      <c r="L118" s="4">
        <f t="shared" si="19"/>
        <v>0</v>
      </c>
      <c r="M118" s="5">
        <f t="shared" si="20"/>
        <v>0</v>
      </c>
      <c r="N118" s="17">
        <f t="shared" si="15"/>
        <v>0</v>
      </c>
      <c r="O118" s="32">
        <f t="shared" si="16"/>
        <v>0</v>
      </c>
      <c r="AG118" t="s">
        <v>623</v>
      </c>
      <c r="AH118" t="s">
        <v>582</v>
      </c>
      <c r="AI118">
        <v>1</v>
      </c>
      <c r="AJ118">
        <v>32</v>
      </c>
      <c r="AK118">
        <v>10</v>
      </c>
      <c r="AL118">
        <v>7</v>
      </c>
      <c r="AM118">
        <v>210</v>
      </c>
      <c r="AN118">
        <v>543</v>
      </c>
      <c r="AO118">
        <v>96</v>
      </c>
      <c r="AP118" s="47"/>
      <c r="AQ118" s="27">
        <f t="shared" si="21"/>
        <v>615.4</v>
      </c>
    </row>
    <row r="119" spans="1:43" ht="12.75">
      <c r="A119" t="s">
        <v>615</v>
      </c>
      <c r="B119" s="7" t="s">
        <v>644</v>
      </c>
      <c r="C119" t="s">
        <v>624</v>
      </c>
      <c r="D119" s="19">
        <v>11</v>
      </c>
      <c r="E119" s="7" t="s">
        <v>724</v>
      </c>
      <c r="F119" s="19"/>
      <c r="G119" s="4">
        <f>IF(F119&gt;0,F119,IF(PrefetchDBSummary!$C$10="B",AJ119,8))</f>
        <v>8</v>
      </c>
      <c r="H119" s="4">
        <f>PrefetchDBSummary!$C$72</f>
        <v>0</v>
      </c>
      <c r="I119" s="4">
        <f>PrefetchDBSummary!$D$72</f>
        <v>0</v>
      </c>
      <c r="J119" s="5">
        <f t="shared" si="17"/>
        <v>0</v>
      </c>
      <c r="K119" s="4">
        <f t="shared" si="18"/>
        <v>0</v>
      </c>
      <c r="L119" s="4">
        <f t="shared" si="19"/>
        <v>0</v>
      </c>
      <c r="M119" s="5">
        <f t="shared" si="20"/>
        <v>0</v>
      </c>
      <c r="N119" s="17">
        <f t="shared" si="15"/>
        <v>0</v>
      </c>
      <c r="O119" s="32">
        <f t="shared" si="16"/>
        <v>0</v>
      </c>
      <c r="AG119" t="s">
        <v>625</v>
      </c>
      <c r="AH119" t="s">
        <v>583</v>
      </c>
      <c r="AI119">
        <v>1</v>
      </c>
      <c r="AJ119">
        <v>32</v>
      </c>
      <c r="AK119">
        <v>6</v>
      </c>
      <c r="AL119">
        <v>3</v>
      </c>
      <c r="AM119">
        <v>322</v>
      </c>
      <c r="AN119">
        <v>367</v>
      </c>
      <c r="AO119">
        <v>288</v>
      </c>
      <c r="AP119" s="47"/>
      <c r="AQ119" s="27">
        <f t="shared" si="21"/>
        <v>2258.2</v>
      </c>
    </row>
    <row r="120" spans="1:43" ht="12.75">
      <c r="A120" t="s">
        <v>615</v>
      </c>
      <c r="B120" s="7" t="s">
        <v>644</v>
      </c>
      <c r="C120" t="s">
        <v>626</v>
      </c>
      <c r="D120" s="19">
        <v>5</v>
      </c>
      <c r="E120" s="7" t="s">
        <v>725</v>
      </c>
      <c r="F120" s="19"/>
      <c r="G120" s="4">
        <f>IF(F120&gt;0,F120,IF(PrefetchDBSummary!$C$10="B",AJ120,8))</f>
        <v>8</v>
      </c>
      <c r="H120" s="4">
        <f>PrefetchDBSummary!$C$72</f>
        <v>0</v>
      </c>
      <c r="I120" s="4">
        <f>PrefetchDBSummary!$D$72</f>
        <v>0</v>
      </c>
      <c r="J120" s="5">
        <f t="shared" si="17"/>
        <v>0</v>
      </c>
      <c r="K120" s="4">
        <f t="shared" si="18"/>
        <v>0</v>
      </c>
      <c r="L120" s="4">
        <f t="shared" si="19"/>
        <v>0</v>
      </c>
      <c r="M120" s="5">
        <f t="shared" si="20"/>
        <v>0</v>
      </c>
      <c r="N120" s="17">
        <f t="shared" si="15"/>
        <v>0</v>
      </c>
      <c r="O120" s="32">
        <f t="shared" si="16"/>
        <v>0</v>
      </c>
      <c r="AG120" t="s">
        <v>627</v>
      </c>
      <c r="AH120" t="s">
        <v>583</v>
      </c>
      <c r="AI120">
        <v>1</v>
      </c>
      <c r="AJ120">
        <v>32</v>
      </c>
      <c r="AK120">
        <v>12</v>
      </c>
      <c r="AL120">
        <v>6</v>
      </c>
      <c r="AM120">
        <v>1000</v>
      </c>
      <c r="AN120">
        <v>1222</v>
      </c>
      <c r="AO120">
        <v>928</v>
      </c>
      <c r="AP120" s="47"/>
      <c r="AQ120" s="27">
        <f t="shared" si="21"/>
        <v>2809</v>
      </c>
    </row>
    <row r="121" spans="1:43" ht="12.75">
      <c r="A121" t="s">
        <v>615</v>
      </c>
      <c r="B121" s="7" t="s">
        <v>644</v>
      </c>
      <c r="C121" t="s">
        <v>634</v>
      </c>
      <c r="D121" s="19">
        <v>5</v>
      </c>
      <c r="E121" s="7" t="s">
        <v>725</v>
      </c>
      <c r="F121" s="19"/>
      <c r="G121" s="4">
        <f>IF(F121&gt;0,F121,IF(PrefetchDBSummary!$C$10="B",AJ121,8))</f>
        <v>8</v>
      </c>
      <c r="H121" s="4">
        <f>PrefetchDBSummary!$C$72</f>
        <v>0</v>
      </c>
      <c r="I121" s="4">
        <f>PrefetchDBSummary!$D$72</f>
        <v>0</v>
      </c>
      <c r="J121" s="5">
        <f t="shared" si="17"/>
        <v>0</v>
      </c>
      <c r="K121" s="4">
        <f t="shared" si="18"/>
        <v>0</v>
      </c>
      <c r="L121" s="4">
        <f t="shared" si="19"/>
        <v>0</v>
      </c>
      <c r="M121" s="5">
        <f t="shared" si="20"/>
        <v>0</v>
      </c>
      <c r="N121" s="17">
        <f t="shared" si="15"/>
        <v>0</v>
      </c>
      <c r="O121" s="32">
        <f t="shared" si="16"/>
        <v>0</v>
      </c>
      <c r="AG121" t="s">
        <v>635</v>
      </c>
      <c r="AH121" t="s">
        <v>583</v>
      </c>
      <c r="AI121">
        <v>1</v>
      </c>
      <c r="AJ121">
        <v>8</v>
      </c>
      <c r="AK121">
        <v>10</v>
      </c>
      <c r="AL121">
        <v>1</v>
      </c>
      <c r="AM121">
        <v>1582</v>
      </c>
      <c r="AN121">
        <v>1597</v>
      </c>
      <c r="AO121">
        <v>1568</v>
      </c>
      <c r="AP121" s="47"/>
      <c r="AQ121" s="27">
        <f t="shared" si="21"/>
        <v>3761</v>
      </c>
    </row>
    <row r="122" spans="1:43" ht="12.75">
      <c r="A122" t="s">
        <v>615</v>
      </c>
      <c r="B122" s="7" t="s">
        <v>644</v>
      </c>
      <c r="C122" t="s">
        <v>628</v>
      </c>
      <c r="D122" s="19">
        <v>3</v>
      </c>
      <c r="E122" s="7" t="s">
        <v>726</v>
      </c>
      <c r="F122" s="19"/>
      <c r="G122" s="4">
        <f>IF(F122&gt;0,F122,IF(PrefetchDBSummary!$C$10="B",AJ122,8))</f>
        <v>8</v>
      </c>
      <c r="H122" s="4">
        <f>PrefetchDBSummary!$C$72</f>
        <v>0</v>
      </c>
      <c r="I122" s="4">
        <f>PrefetchDBSummary!$D$72</f>
        <v>0</v>
      </c>
      <c r="J122" s="5">
        <f t="shared" si="17"/>
        <v>0</v>
      </c>
      <c r="K122" s="4">
        <f t="shared" si="18"/>
        <v>0</v>
      </c>
      <c r="L122" s="4">
        <f t="shared" si="19"/>
        <v>0</v>
      </c>
      <c r="M122" s="5">
        <f t="shared" si="20"/>
        <v>0</v>
      </c>
      <c r="N122" s="17">
        <f t="shared" si="15"/>
        <v>0</v>
      </c>
      <c r="O122" s="32">
        <f t="shared" si="16"/>
        <v>0</v>
      </c>
      <c r="AG122" t="s">
        <v>629</v>
      </c>
      <c r="AH122" t="s">
        <v>583</v>
      </c>
      <c r="AI122">
        <v>1</v>
      </c>
      <c r="AJ122">
        <v>32</v>
      </c>
      <c r="AK122">
        <v>7</v>
      </c>
      <c r="AL122">
        <v>0</v>
      </c>
      <c r="AM122">
        <v>1383</v>
      </c>
      <c r="AN122">
        <v>1383</v>
      </c>
      <c r="AO122">
        <v>1376</v>
      </c>
      <c r="AP122" s="47"/>
      <c r="AQ122" s="27">
        <f t="shared" si="21"/>
        <v>2124.2</v>
      </c>
    </row>
    <row r="123" spans="1:43" ht="12.75">
      <c r="A123" t="s">
        <v>615</v>
      </c>
      <c r="B123" s="7" t="s">
        <v>644</v>
      </c>
      <c r="C123" t="s">
        <v>630</v>
      </c>
      <c r="D123" s="19">
        <v>5</v>
      </c>
      <c r="E123" s="7" t="s">
        <v>725</v>
      </c>
      <c r="F123" s="19"/>
      <c r="G123" s="4">
        <f>IF(F123&gt;0,F123,IF(PrefetchDBSummary!$C$10="B",AJ123,8))</f>
        <v>8</v>
      </c>
      <c r="H123" s="4">
        <f>PrefetchDBSummary!$C$72</f>
        <v>0</v>
      </c>
      <c r="I123" s="4">
        <f>PrefetchDBSummary!$D$72</f>
        <v>0</v>
      </c>
      <c r="J123" s="5">
        <f t="shared" si="17"/>
        <v>0</v>
      </c>
      <c r="K123" s="4">
        <f t="shared" si="18"/>
        <v>0</v>
      </c>
      <c r="L123" s="4">
        <f t="shared" si="19"/>
        <v>0</v>
      </c>
      <c r="M123" s="5">
        <f t="shared" si="20"/>
        <v>0</v>
      </c>
      <c r="N123" s="17">
        <f t="shared" si="15"/>
        <v>0</v>
      </c>
      <c r="O123" s="32">
        <f t="shared" si="16"/>
        <v>0</v>
      </c>
      <c r="AG123" t="s">
        <v>631</v>
      </c>
      <c r="AH123" t="s">
        <v>583</v>
      </c>
      <c r="AI123">
        <v>1</v>
      </c>
      <c r="AJ123">
        <v>8</v>
      </c>
      <c r="AK123">
        <v>10</v>
      </c>
      <c r="AL123">
        <v>5</v>
      </c>
      <c r="AM123">
        <v>846</v>
      </c>
      <c r="AN123">
        <v>1041</v>
      </c>
      <c r="AO123">
        <v>800</v>
      </c>
      <c r="AP123" s="47"/>
      <c r="AQ123" s="27">
        <f t="shared" si="21"/>
        <v>2385</v>
      </c>
    </row>
    <row r="124" spans="1:43" ht="12.75">
      <c r="A124" t="s">
        <v>615</v>
      </c>
      <c r="B124" s="7" t="s">
        <v>644</v>
      </c>
      <c r="C124" t="s">
        <v>632</v>
      </c>
      <c r="D124" s="19">
        <v>5</v>
      </c>
      <c r="E124" s="7" t="s">
        <v>725</v>
      </c>
      <c r="F124" s="19"/>
      <c r="G124" s="4">
        <f>IF(F124&gt;0,F124,IF(PrefetchDBSummary!$C$10="B",AJ124,8))</f>
        <v>8</v>
      </c>
      <c r="H124" s="4">
        <f>PrefetchDBSummary!$C$72</f>
        <v>0</v>
      </c>
      <c r="I124" s="4">
        <f>PrefetchDBSummary!$D$72</f>
        <v>0</v>
      </c>
      <c r="J124" s="5">
        <f t="shared" si="17"/>
        <v>0</v>
      </c>
      <c r="K124" s="4">
        <f t="shared" si="18"/>
        <v>0</v>
      </c>
      <c r="L124" s="4">
        <f t="shared" si="19"/>
        <v>0</v>
      </c>
      <c r="M124" s="5">
        <f t="shared" si="20"/>
        <v>0</v>
      </c>
      <c r="N124" s="17">
        <f t="shared" si="15"/>
        <v>0</v>
      </c>
      <c r="O124" s="32">
        <f t="shared" si="16"/>
        <v>0</v>
      </c>
      <c r="AG124" t="s">
        <v>633</v>
      </c>
      <c r="AH124" t="s">
        <v>583</v>
      </c>
      <c r="AI124">
        <v>1</v>
      </c>
      <c r="AJ124">
        <v>8</v>
      </c>
      <c r="AK124">
        <v>12</v>
      </c>
      <c r="AL124">
        <v>7</v>
      </c>
      <c r="AM124">
        <v>856</v>
      </c>
      <c r="AN124">
        <v>1129</v>
      </c>
      <c r="AO124">
        <v>800</v>
      </c>
      <c r="AP124" s="47"/>
      <c r="AQ124" s="27">
        <f t="shared" si="21"/>
        <v>2473</v>
      </c>
    </row>
    <row r="125" spans="1:43" ht="12.75">
      <c r="A125" t="s">
        <v>615</v>
      </c>
      <c r="B125" s="7" t="s">
        <v>644</v>
      </c>
      <c r="C125" t="s">
        <v>636</v>
      </c>
      <c r="D125" s="19">
        <v>5</v>
      </c>
      <c r="E125" s="7" t="s">
        <v>725</v>
      </c>
      <c r="F125" s="19"/>
      <c r="G125" s="4">
        <f>IF(F125&gt;0,F125,IF(PrefetchDBSummary!$C$10="B",AJ125,8))</f>
        <v>8</v>
      </c>
      <c r="H125" s="4">
        <f>PrefetchDBSummary!$C$72</f>
        <v>0</v>
      </c>
      <c r="I125" s="4">
        <f>PrefetchDBSummary!$D$72</f>
        <v>0</v>
      </c>
      <c r="J125" s="5">
        <f t="shared" si="17"/>
        <v>0</v>
      </c>
      <c r="K125" s="4">
        <f t="shared" si="18"/>
        <v>0</v>
      </c>
      <c r="L125" s="4">
        <f t="shared" si="19"/>
        <v>0</v>
      </c>
      <c r="M125" s="5">
        <f t="shared" si="20"/>
        <v>0</v>
      </c>
      <c r="N125" s="17">
        <f t="shared" si="15"/>
        <v>0</v>
      </c>
      <c r="O125" s="32">
        <f t="shared" si="16"/>
        <v>0</v>
      </c>
      <c r="AG125" t="s">
        <v>637</v>
      </c>
      <c r="AH125" t="s">
        <v>583</v>
      </c>
      <c r="AI125">
        <v>1</v>
      </c>
      <c r="AJ125">
        <v>32</v>
      </c>
      <c r="AK125">
        <v>10</v>
      </c>
      <c r="AL125">
        <v>7</v>
      </c>
      <c r="AM125">
        <v>366</v>
      </c>
      <c r="AN125">
        <v>663</v>
      </c>
      <c r="AO125">
        <v>288</v>
      </c>
      <c r="AP125" s="47"/>
      <c r="AQ125" s="27">
        <f t="shared" si="21"/>
        <v>1521</v>
      </c>
    </row>
    <row r="126" spans="1:43" ht="12.75">
      <c r="A126" t="s">
        <v>615</v>
      </c>
      <c r="B126" s="7" t="s">
        <v>644</v>
      </c>
      <c r="C126" t="s">
        <v>638</v>
      </c>
      <c r="D126" s="19">
        <v>55</v>
      </c>
      <c r="E126" s="7" t="s">
        <v>727</v>
      </c>
      <c r="F126" s="19"/>
      <c r="G126" s="4">
        <f>IF(F126&gt;0,F126,IF(PrefetchDBSummary!$C$10="B",AJ126,8))</f>
        <v>8</v>
      </c>
      <c r="H126" s="4">
        <f>PrefetchDBSummary!$C$72</f>
        <v>0</v>
      </c>
      <c r="I126" s="4">
        <f>PrefetchDBSummary!$D$72</f>
        <v>0</v>
      </c>
      <c r="J126" s="5">
        <f t="shared" si="17"/>
        <v>0</v>
      </c>
      <c r="K126" s="4">
        <f t="shared" si="18"/>
        <v>0</v>
      </c>
      <c r="L126" s="4">
        <f t="shared" si="19"/>
        <v>0</v>
      </c>
      <c r="M126" s="5">
        <f t="shared" si="20"/>
        <v>0</v>
      </c>
      <c r="N126" s="17">
        <f t="shared" si="15"/>
        <v>0</v>
      </c>
      <c r="O126" s="32">
        <f t="shared" si="16"/>
        <v>0</v>
      </c>
      <c r="AG126" t="s">
        <v>639</v>
      </c>
      <c r="AH126" t="s">
        <v>583</v>
      </c>
      <c r="AI126">
        <v>1</v>
      </c>
      <c r="AJ126">
        <v>32</v>
      </c>
      <c r="AK126">
        <v>7</v>
      </c>
      <c r="AL126">
        <v>3</v>
      </c>
      <c r="AM126">
        <v>819</v>
      </c>
      <c r="AN126">
        <v>888</v>
      </c>
      <c r="AO126">
        <v>800</v>
      </c>
      <c r="AP126" s="47"/>
      <c r="AQ126" s="27">
        <f t="shared" si="21"/>
        <v>20293</v>
      </c>
    </row>
    <row r="127" spans="1:43" ht="12.75">
      <c r="A127" t="s">
        <v>615</v>
      </c>
      <c r="B127" s="7" t="s">
        <v>644</v>
      </c>
      <c r="C127" t="s">
        <v>640</v>
      </c>
      <c r="D127" s="19">
        <v>5</v>
      </c>
      <c r="E127" s="7" t="s">
        <v>725</v>
      </c>
      <c r="F127" s="19"/>
      <c r="G127" s="4">
        <f>IF(F127&gt;0,F127,IF(PrefetchDBSummary!$C$10="B",AJ127,8))</f>
        <v>8</v>
      </c>
      <c r="H127" s="4">
        <f>PrefetchDBSummary!$C$72</f>
        <v>0</v>
      </c>
      <c r="I127" s="4">
        <f>PrefetchDBSummary!$D$72</f>
        <v>0</v>
      </c>
      <c r="J127" s="5">
        <f t="shared" si="17"/>
        <v>0</v>
      </c>
      <c r="K127" s="4">
        <f t="shared" si="18"/>
        <v>0</v>
      </c>
      <c r="L127" s="4">
        <f t="shared" si="19"/>
        <v>0</v>
      </c>
      <c r="M127" s="5">
        <f t="shared" si="20"/>
        <v>0</v>
      </c>
      <c r="N127" s="17">
        <f aca="true" t="shared" si="29" ref="N127:N231">L127*60*24*IF(G127&gt;0,G127,(G127))</f>
        <v>0</v>
      </c>
      <c r="O127" s="32">
        <f aca="true" t="shared" si="30" ref="O127:O231">N127*($AM127-$AO127*IF($AP127&gt;0,1-$AP127,1-$AS$2))*(1-$AS$3)/1024/1024</f>
        <v>0</v>
      </c>
      <c r="AG127" t="s">
        <v>641</v>
      </c>
      <c r="AH127" t="s">
        <v>583</v>
      </c>
      <c r="AI127">
        <v>1</v>
      </c>
      <c r="AJ127">
        <v>8</v>
      </c>
      <c r="AK127">
        <v>7</v>
      </c>
      <c r="AL127">
        <v>3</v>
      </c>
      <c r="AM127">
        <v>591</v>
      </c>
      <c r="AN127">
        <v>720</v>
      </c>
      <c r="AO127">
        <v>544</v>
      </c>
      <c r="AP127" s="47"/>
      <c r="AQ127" s="27">
        <f t="shared" si="21"/>
        <v>1821</v>
      </c>
    </row>
    <row r="128" spans="1:43" ht="12.75">
      <c r="A128" t="s">
        <v>615</v>
      </c>
      <c r="B128" s="7" t="s">
        <v>644</v>
      </c>
      <c r="C128" t="s">
        <v>642</v>
      </c>
      <c r="D128" s="19">
        <v>5</v>
      </c>
      <c r="E128" s="7" t="s">
        <v>725</v>
      </c>
      <c r="F128" s="19"/>
      <c r="G128" s="4">
        <f>IF(F128&gt;0,F128,IF(PrefetchDBSummary!$C$10="B",AJ128,8))</f>
        <v>8</v>
      </c>
      <c r="H128" s="4">
        <f>PrefetchDBSummary!$C$72</f>
        <v>0</v>
      </c>
      <c r="I128" s="4">
        <f>PrefetchDBSummary!$D$72</f>
        <v>0</v>
      </c>
      <c r="J128" s="5">
        <f t="shared" si="17"/>
        <v>0</v>
      </c>
      <c r="K128" s="4">
        <f t="shared" si="18"/>
        <v>0</v>
      </c>
      <c r="L128" s="4">
        <f t="shared" si="19"/>
        <v>0</v>
      </c>
      <c r="M128" s="5">
        <f t="shared" si="20"/>
        <v>0</v>
      </c>
      <c r="N128" s="17">
        <f t="shared" si="29"/>
        <v>0</v>
      </c>
      <c r="O128" s="32">
        <f t="shared" si="30"/>
        <v>0</v>
      </c>
      <c r="AG128" t="s">
        <v>643</v>
      </c>
      <c r="AH128" t="s">
        <v>583</v>
      </c>
      <c r="AI128">
        <v>1</v>
      </c>
      <c r="AJ128">
        <v>8</v>
      </c>
      <c r="AK128">
        <v>7</v>
      </c>
      <c r="AL128">
        <v>3</v>
      </c>
      <c r="AM128">
        <v>591</v>
      </c>
      <c r="AN128">
        <v>720</v>
      </c>
      <c r="AO128">
        <v>544</v>
      </c>
      <c r="AP128" s="47"/>
      <c r="AQ128" s="27">
        <f t="shared" si="21"/>
        <v>1821</v>
      </c>
    </row>
    <row r="129" spans="1:43" ht="12.75">
      <c r="A129" s="18" t="s">
        <v>2094</v>
      </c>
      <c r="B129" s="7" t="s">
        <v>2151</v>
      </c>
      <c r="C129" t="s">
        <v>2096</v>
      </c>
      <c r="D129" s="19">
        <v>1</v>
      </c>
      <c r="E129" s="7" t="s">
        <v>2107</v>
      </c>
      <c r="F129" s="19"/>
      <c r="G129" s="4">
        <f>IF(F129&gt;0,F129,IF(PrefetchDBSummary!$C$10="B",AJ129,8))</f>
        <v>8</v>
      </c>
      <c r="H129" s="4">
        <f>PrefetchDBSummary!$C$43</f>
        <v>0</v>
      </c>
      <c r="I129" s="4">
        <f>PrefetchDBSummary!$D$45</f>
        <v>0</v>
      </c>
      <c r="J129" s="5">
        <f aca="true" t="shared" si="31" ref="J129:J134">IF(H129&gt;0,(AQ129)/(AI129*60),IF(I129&gt;0,(AQ129)/(5*60),0))</f>
        <v>0</v>
      </c>
      <c r="K129" s="4">
        <f aca="true" t="shared" si="32" ref="K129:K134">IF(H129&gt;0,D129/AI129,IF(I129&gt;0,D129/5,0))</f>
        <v>0</v>
      </c>
      <c r="L129" s="4">
        <f aca="true" t="shared" si="33" ref="L129:L134">H129*D129/AI129+I129*D129/5</f>
        <v>0</v>
      </c>
      <c r="M129" s="5">
        <f aca="true" t="shared" si="34" ref="M129:M134">L129*AM129*(1-IF(AP129&gt;0,AP129,$AS$2)*$AS$3)/1024</f>
        <v>0</v>
      </c>
      <c r="N129" s="17">
        <f aca="true" t="shared" si="35" ref="N129:N134">L129*60*24*IF(G129&gt;0,G129,(G129))</f>
        <v>0</v>
      </c>
      <c r="O129" s="32">
        <f aca="true" t="shared" si="36" ref="O129:O134">N129*($AM129-$AO129*IF($AP129&gt;0,1-$AP129,1-$AS$2))*(1-$AS$3)/1024/1024</f>
        <v>0</v>
      </c>
      <c r="AG129" t="s">
        <v>2102</v>
      </c>
      <c r="AH129" t="s">
        <v>583</v>
      </c>
      <c r="AI129">
        <v>1</v>
      </c>
      <c r="AJ129">
        <v>32</v>
      </c>
      <c r="AK129">
        <v>10</v>
      </c>
      <c r="AL129">
        <v>5</v>
      </c>
      <c r="AM129">
        <v>106</v>
      </c>
      <c r="AN129">
        <v>325</v>
      </c>
      <c r="AO129">
        <v>32</v>
      </c>
      <c r="AP129" s="47"/>
      <c r="AQ129" s="27">
        <f aca="true" t="shared" si="37" ref="AQ129:AQ134">250+19*AK129+D129*(23+(AM129-AO129)+AO129*(1-IF(AP129&gt;0,AP129,$AS$2)))</f>
        <v>549.8</v>
      </c>
    </row>
    <row r="130" spans="1:43" ht="12.75">
      <c r="A130" s="18" t="s">
        <v>2094</v>
      </c>
      <c r="B130" s="7" t="s">
        <v>2151</v>
      </c>
      <c r="C130" t="s">
        <v>2097</v>
      </c>
      <c r="D130" s="19">
        <v>1</v>
      </c>
      <c r="E130" s="7" t="s">
        <v>2108</v>
      </c>
      <c r="F130" s="19"/>
      <c r="G130" s="4">
        <f>IF(F130&gt;0,F130,IF(PrefetchDBSummary!$C$10="B",AJ130,8))</f>
        <v>8</v>
      </c>
      <c r="H130" s="4">
        <f>PrefetchDBSummary!$C$43</f>
        <v>0</v>
      </c>
      <c r="I130" s="4">
        <f>PrefetchDBSummary!$D$45</f>
        <v>0</v>
      </c>
      <c r="J130" s="5">
        <f t="shared" si="31"/>
        <v>0</v>
      </c>
      <c r="K130" s="4">
        <f t="shared" si="32"/>
        <v>0</v>
      </c>
      <c r="L130" s="4">
        <f t="shared" si="33"/>
        <v>0</v>
      </c>
      <c r="M130" s="5">
        <f t="shared" si="34"/>
        <v>0</v>
      </c>
      <c r="N130" s="17">
        <f t="shared" si="35"/>
        <v>0</v>
      </c>
      <c r="O130" s="32">
        <f t="shared" si="36"/>
        <v>0</v>
      </c>
      <c r="AG130" t="s">
        <v>2103</v>
      </c>
      <c r="AH130" t="s">
        <v>583</v>
      </c>
      <c r="AI130">
        <v>1</v>
      </c>
      <c r="AJ130">
        <v>32</v>
      </c>
      <c r="AK130">
        <v>7</v>
      </c>
      <c r="AL130">
        <v>3</v>
      </c>
      <c r="AM130">
        <v>63</v>
      </c>
      <c r="AN130">
        <v>180</v>
      </c>
      <c r="AO130">
        <v>32</v>
      </c>
      <c r="AP130" s="47"/>
      <c r="AQ130" s="27">
        <f t="shared" si="37"/>
        <v>449.8</v>
      </c>
    </row>
    <row r="131" spans="1:43" ht="12.75">
      <c r="A131" s="18" t="s">
        <v>2094</v>
      </c>
      <c r="B131" s="7" t="s">
        <v>2151</v>
      </c>
      <c r="C131" t="s">
        <v>2098</v>
      </c>
      <c r="D131" s="19">
        <v>1</v>
      </c>
      <c r="E131" s="7" t="str">
        <f>IF(AH131="S","Always one row per interval","")</f>
        <v>Always one row per interval</v>
      </c>
      <c r="F131" s="19"/>
      <c r="G131" s="4">
        <f>IF(F131&gt;0,F131,IF(PrefetchDBSummary!$C$10="B",AJ131,8))</f>
        <v>8</v>
      </c>
      <c r="H131" s="4">
        <f>PrefetchDBSummary!$C$43</f>
        <v>0</v>
      </c>
      <c r="I131" s="4">
        <f>PrefetchDBSummary!$D$45</f>
        <v>0</v>
      </c>
      <c r="J131" s="5">
        <f t="shared" si="31"/>
        <v>0</v>
      </c>
      <c r="K131" s="4">
        <f t="shared" si="32"/>
        <v>0</v>
      </c>
      <c r="L131" s="4">
        <f t="shared" si="33"/>
        <v>0</v>
      </c>
      <c r="M131" s="5">
        <f t="shared" si="34"/>
        <v>0</v>
      </c>
      <c r="N131" s="17">
        <f t="shared" si="35"/>
        <v>0</v>
      </c>
      <c r="O131" s="32">
        <f t="shared" si="36"/>
        <v>0</v>
      </c>
      <c r="AG131" t="s">
        <v>2104</v>
      </c>
      <c r="AH131" t="s">
        <v>582</v>
      </c>
      <c r="AI131">
        <v>1</v>
      </c>
      <c r="AJ131">
        <v>32</v>
      </c>
      <c r="AK131">
        <v>6</v>
      </c>
      <c r="AL131">
        <v>5</v>
      </c>
      <c r="AM131">
        <v>118</v>
      </c>
      <c r="AN131">
        <v>373</v>
      </c>
      <c r="AO131">
        <v>32</v>
      </c>
      <c r="AP131" s="47"/>
      <c r="AQ131" s="27">
        <f t="shared" si="37"/>
        <v>485.8</v>
      </c>
    </row>
    <row r="132" spans="1:43" ht="12.75">
      <c r="A132" s="18" t="s">
        <v>2094</v>
      </c>
      <c r="B132" s="7" t="s">
        <v>2151</v>
      </c>
      <c r="C132" t="s">
        <v>2099</v>
      </c>
      <c r="D132" s="19">
        <v>1</v>
      </c>
      <c r="E132" s="7" t="str">
        <f>IF(AH132="S","Always one row per interval","")</f>
        <v>Always one row per interval</v>
      </c>
      <c r="F132" s="19"/>
      <c r="G132" s="4">
        <f>IF(F132&gt;0,F132,IF(PrefetchDBSummary!$C$10="B",AJ132,8))</f>
        <v>8</v>
      </c>
      <c r="H132" s="4">
        <f>PrefetchDBSummary!$C$43</f>
        <v>0</v>
      </c>
      <c r="I132" s="4">
        <f>PrefetchDBSummary!$D$45</f>
        <v>0</v>
      </c>
      <c r="J132" s="5">
        <f t="shared" si="31"/>
        <v>0</v>
      </c>
      <c r="K132" s="4">
        <f t="shared" si="32"/>
        <v>0</v>
      </c>
      <c r="L132" s="4">
        <f t="shared" si="33"/>
        <v>0</v>
      </c>
      <c r="M132" s="5">
        <f t="shared" si="34"/>
        <v>0</v>
      </c>
      <c r="N132" s="17">
        <f t="shared" si="35"/>
        <v>0</v>
      </c>
      <c r="O132" s="32">
        <f t="shared" si="36"/>
        <v>0</v>
      </c>
      <c r="AG132" t="s">
        <v>2105</v>
      </c>
      <c r="AH132" t="s">
        <v>582</v>
      </c>
      <c r="AI132">
        <v>1</v>
      </c>
      <c r="AJ132">
        <v>32</v>
      </c>
      <c r="AK132">
        <v>14</v>
      </c>
      <c r="AL132">
        <v>10</v>
      </c>
      <c r="AM132">
        <v>154</v>
      </c>
      <c r="AN132">
        <v>484</v>
      </c>
      <c r="AO132">
        <v>32</v>
      </c>
      <c r="AP132" s="47"/>
      <c r="AQ132" s="27">
        <f t="shared" si="37"/>
        <v>673.8</v>
      </c>
    </row>
    <row r="133" spans="1:43" ht="12.75">
      <c r="A133" s="18" t="s">
        <v>2094</v>
      </c>
      <c r="B133" s="7" t="s">
        <v>2151</v>
      </c>
      <c r="C133" t="s">
        <v>2095</v>
      </c>
      <c r="D133" s="19"/>
      <c r="E133" s="7">
        <f>IF(AH133="S","Always one row per interval","")</f>
      </c>
      <c r="F133" s="19"/>
      <c r="G133" s="4">
        <f>IF(F133&gt;0,F133,IF(PrefetchDBSummary!$C$10="B",AJ133,8))</f>
        <v>8</v>
      </c>
      <c r="H133" s="4">
        <f>PrefetchDBSummary!$C$43</f>
        <v>0</v>
      </c>
      <c r="I133" s="4">
        <f>PrefetchDBSummary!$D$45</f>
        <v>0</v>
      </c>
      <c r="J133" s="5">
        <f t="shared" si="31"/>
        <v>0</v>
      </c>
      <c r="K133" s="4">
        <f t="shared" si="32"/>
        <v>0</v>
      </c>
      <c r="L133" s="4">
        <f t="shared" si="33"/>
        <v>0</v>
      </c>
      <c r="M133" s="5">
        <f t="shared" si="34"/>
        <v>0</v>
      </c>
      <c r="N133" s="17">
        <f t="shared" si="35"/>
        <v>0</v>
      </c>
      <c r="O133" s="32">
        <f t="shared" si="36"/>
        <v>0</v>
      </c>
      <c r="AG133" t="s">
        <v>2101</v>
      </c>
      <c r="AH133" t="s">
        <v>583</v>
      </c>
      <c r="AI133">
        <v>1</v>
      </c>
      <c r="AJ133">
        <v>32</v>
      </c>
      <c r="AK133">
        <v>12</v>
      </c>
      <c r="AL133">
        <v>0</v>
      </c>
      <c r="AM133">
        <v>290</v>
      </c>
      <c r="AN133">
        <v>290</v>
      </c>
      <c r="AO133">
        <v>210</v>
      </c>
      <c r="AP133" s="47"/>
      <c r="AQ133" s="27">
        <f t="shared" si="37"/>
        <v>478</v>
      </c>
    </row>
    <row r="134" spans="1:43" ht="12.75">
      <c r="A134" s="18" t="s">
        <v>2094</v>
      </c>
      <c r="B134" s="7" t="s">
        <v>2151</v>
      </c>
      <c r="C134" t="s">
        <v>2100</v>
      </c>
      <c r="D134" s="19">
        <v>1</v>
      </c>
      <c r="E134" s="7" t="str">
        <f>IF(AH134="S","Always one row per interval","")</f>
        <v>Always one row per interval</v>
      </c>
      <c r="F134" s="19"/>
      <c r="G134" s="4">
        <f>IF(F134&gt;0,F134,IF(PrefetchDBSummary!$C$10="B",AJ134,8))</f>
        <v>8</v>
      </c>
      <c r="H134" s="4">
        <f>PrefetchDBSummary!$C$43</f>
        <v>0</v>
      </c>
      <c r="I134" s="4">
        <f>PrefetchDBSummary!$D$45</f>
        <v>0</v>
      </c>
      <c r="J134" s="5">
        <f t="shared" si="31"/>
        <v>0</v>
      </c>
      <c r="K134" s="4">
        <f t="shared" si="32"/>
        <v>0</v>
      </c>
      <c r="L134" s="4">
        <f t="shared" si="33"/>
        <v>0</v>
      </c>
      <c r="M134" s="5">
        <f t="shared" si="34"/>
        <v>0</v>
      </c>
      <c r="N134" s="17">
        <f t="shared" si="35"/>
        <v>0</v>
      </c>
      <c r="O134" s="32">
        <f t="shared" si="36"/>
        <v>0</v>
      </c>
      <c r="AG134" t="s">
        <v>2106</v>
      </c>
      <c r="AH134" t="s">
        <v>582</v>
      </c>
      <c r="AI134">
        <v>1</v>
      </c>
      <c r="AJ134">
        <v>32</v>
      </c>
      <c r="AK134">
        <v>13</v>
      </c>
      <c r="AL134">
        <v>11</v>
      </c>
      <c r="AM134">
        <v>177</v>
      </c>
      <c r="AN134">
        <v>678</v>
      </c>
      <c r="AO134">
        <v>32</v>
      </c>
      <c r="AP134" s="47"/>
      <c r="AQ134" s="27">
        <f t="shared" si="37"/>
        <v>677.8</v>
      </c>
    </row>
    <row r="135" spans="1:43" ht="12.75">
      <c r="A135" s="18" t="s">
        <v>426</v>
      </c>
      <c r="B135" s="18" t="s">
        <v>427</v>
      </c>
      <c r="C135" t="s">
        <v>72</v>
      </c>
      <c r="D135" s="19">
        <v>1</v>
      </c>
      <c r="E135" s="7" t="s">
        <v>728</v>
      </c>
      <c r="F135" s="19"/>
      <c r="G135" s="4">
        <f>IF(F135&gt;0,F135,IF(PrefetchDBSummary!$C$10="B",AJ135,8))</f>
        <v>8</v>
      </c>
      <c r="H135" s="4">
        <f>PrefetchDBSummary!$C$31</f>
        <v>0</v>
      </c>
      <c r="I135" s="4">
        <f>PrefetchDBSummary!$D$31</f>
        <v>0</v>
      </c>
      <c r="J135" s="5">
        <f t="shared" si="17"/>
        <v>0</v>
      </c>
      <c r="K135" s="4">
        <f t="shared" si="18"/>
        <v>0</v>
      </c>
      <c r="L135" s="4">
        <f t="shared" si="19"/>
        <v>0</v>
      </c>
      <c r="M135" s="5">
        <f t="shared" si="20"/>
        <v>0</v>
      </c>
      <c r="N135" s="17">
        <f t="shared" si="29"/>
        <v>0</v>
      </c>
      <c r="O135" s="32">
        <f t="shared" si="30"/>
        <v>0</v>
      </c>
      <c r="AG135" t="s">
        <v>73</v>
      </c>
      <c r="AH135" t="s">
        <v>583</v>
      </c>
      <c r="AI135">
        <v>1</v>
      </c>
      <c r="AJ135">
        <v>8</v>
      </c>
      <c r="AK135">
        <v>7</v>
      </c>
      <c r="AL135">
        <v>5</v>
      </c>
      <c r="AM135">
        <v>107</v>
      </c>
      <c r="AN135">
        <v>254</v>
      </c>
      <c r="AO135">
        <v>64</v>
      </c>
      <c r="AQ135" s="27">
        <f t="shared" si="21"/>
        <v>474.6</v>
      </c>
    </row>
    <row r="136" spans="1:43" ht="13.5" customHeight="1">
      <c r="A136" s="18" t="s">
        <v>426</v>
      </c>
      <c r="B136" s="18" t="s">
        <v>427</v>
      </c>
      <c r="C136" t="s">
        <v>282</v>
      </c>
      <c r="D136" s="19">
        <v>0</v>
      </c>
      <c r="E136" s="7" t="s">
        <v>728</v>
      </c>
      <c r="F136" s="19"/>
      <c r="G136" s="4">
        <f>IF(F136&gt;0,F136,IF(PrefetchDBSummary!$C$10="B",AJ136,8))</f>
        <v>8</v>
      </c>
      <c r="H136" s="4">
        <f>PrefetchDBSummary!$C$31</f>
        <v>0</v>
      </c>
      <c r="I136" s="4">
        <f>PrefetchDBSummary!$D$31</f>
        <v>0</v>
      </c>
      <c r="J136" s="5">
        <f t="shared" si="17"/>
        <v>0</v>
      </c>
      <c r="K136" s="4">
        <f t="shared" si="18"/>
        <v>0</v>
      </c>
      <c r="L136" s="4">
        <f t="shared" si="19"/>
        <v>0</v>
      </c>
      <c r="M136" s="5">
        <f t="shared" si="20"/>
        <v>0</v>
      </c>
      <c r="N136" s="17">
        <f t="shared" si="29"/>
        <v>0</v>
      </c>
      <c r="O136" s="32">
        <f t="shared" si="30"/>
        <v>0</v>
      </c>
      <c r="AG136" t="s">
        <v>283</v>
      </c>
      <c r="AH136" t="s">
        <v>583</v>
      </c>
      <c r="AI136">
        <v>5</v>
      </c>
      <c r="AJ136">
        <v>8</v>
      </c>
      <c r="AK136">
        <v>7</v>
      </c>
      <c r="AL136">
        <v>3</v>
      </c>
      <c r="AM136">
        <v>474</v>
      </c>
      <c r="AN136">
        <v>519</v>
      </c>
      <c r="AO136">
        <v>456</v>
      </c>
      <c r="AQ136" s="27">
        <f t="shared" si="21"/>
        <v>383</v>
      </c>
    </row>
    <row r="137" spans="1:43" ht="12.75">
      <c r="A137" s="18" t="s">
        <v>426</v>
      </c>
      <c r="B137" s="18" t="s">
        <v>427</v>
      </c>
      <c r="C137" t="s">
        <v>172</v>
      </c>
      <c r="D137" s="19">
        <v>1</v>
      </c>
      <c r="E137" s="7" t="str">
        <f>IF(AH137="S","Always one row per interval","")</f>
        <v>Always one row per interval</v>
      </c>
      <c r="F137" s="19"/>
      <c r="G137" s="4">
        <f>IF(F137&gt;0,F137,IF(PrefetchDBSummary!$C$10="B",AJ137,8))</f>
        <v>8</v>
      </c>
      <c r="H137" s="4">
        <f>PrefetchDBSummary!$C$31</f>
        <v>0</v>
      </c>
      <c r="I137" s="4">
        <f>PrefetchDBSummary!$D$31</f>
        <v>0</v>
      </c>
      <c r="J137" s="5">
        <f t="shared" si="17"/>
        <v>0</v>
      </c>
      <c r="K137" s="4">
        <f t="shared" si="18"/>
        <v>0</v>
      </c>
      <c r="L137" s="4">
        <f t="shared" si="19"/>
        <v>0</v>
      </c>
      <c r="M137" s="5">
        <f t="shared" si="20"/>
        <v>0</v>
      </c>
      <c r="N137" s="17">
        <f t="shared" si="29"/>
        <v>0</v>
      </c>
      <c r="O137" s="32">
        <f t="shared" si="30"/>
        <v>0</v>
      </c>
      <c r="AG137" t="s">
        <v>410</v>
      </c>
      <c r="AH137" t="s">
        <v>582</v>
      </c>
      <c r="AI137">
        <v>1</v>
      </c>
      <c r="AJ137">
        <v>15</v>
      </c>
      <c r="AK137">
        <v>15</v>
      </c>
      <c r="AL137">
        <v>13</v>
      </c>
      <c r="AM137">
        <v>171</v>
      </c>
      <c r="AN137">
        <v>606</v>
      </c>
      <c r="AO137">
        <v>64</v>
      </c>
      <c r="AQ137" s="27">
        <f t="shared" si="21"/>
        <v>690.6</v>
      </c>
    </row>
    <row r="138" spans="1:43" ht="12.75">
      <c r="A138" s="18" t="s">
        <v>426</v>
      </c>
      <c r="B138" s="18" t="s">
        <v>427</v>
      </c>
      <c r="C138" t="s">
        <v>359</v>
      </c>
      <c r="D138" s="19">
        <v>15</v>
      </c>
      <c r="E138" s="7" t="s">
        <v>729</v>
      </c>
      <c r="F138" s="19"/>
      <c r="G138" s="4">
        <f>IF(F138&gt;0,F138,IF(PrefetchDBSummary!$C$10="B",AJ138,8))</f>
        <v>8</v>
      </c>
      <c r="H138" s="4">
        <f>PrefetchDBSummary!$C$31</f>
        <v>0</v>
      </c>
      <c r="I138" s="4">
        <f>PrefetchDBSummary!$D$31</f>
        <v>0</v>
      </c>
      <c r="J138" s="5">
        <f t="shared" si="17"/>
        <v>0</v>
      </c>
      <c r="K138" s="4">
        <f t="shared" si="18"/>
        <v>0</v>
      </c>
      <c r="L138" s="4">
        <f t="shared" si="19"/>
        <v>0</v>
      </c>
      <c r="M138" s="5">
        <f t="shared" si="20"/>
        <v>0</v>
      </c>
      <c r="N138" s="17">
        <f t="shared" si="29"/>
        <v>0</v>
      </c>
      <c r="O138" s="32">
        <f t="shared" si="30"/>
        <v>0</v>
      </c>
      <c r="AG138" t="s">
        <v>360</v>
      </c>
      <c r="AH138" t="s">
        <v>583</v>
      </c>
      <c r="AI138">
        <v>1</v>
      </c>
      <c r="AJ138">
        <v>8</v>
      </c>
      <c r="AK138">
        <v>6</v>
      </c>
      <c r="AL138">
        <v>4</v>
      </c>
      <c r="AM138">
        <v>182</v>
      </c>
      <c r="AN138">
        <v>374</v>
      </c>
      <c r="AO138">
        <v>124</v>
      </c>
      <c r="AQ138" s="27">
        <f t="shared" si="21"/>
        <v>2323</v>
      </c>
    </row>
    <row r="139" spans="1:43" ht="12.75">
      <c r="A139" s="18" t="s">
        <v>426</v>
      </c>
      <c r="B139" s="18" t="s">
        <v>427</v>
      </c>
      <c r="C139" t="s">
        <v>284</v>
      </c>
      <c r="D139" s="19">
        <v>0</v>
      </c>
      <c r="E139" s="7" t="s">
        <v>730</v>
      </c>
      <c r="F139" s="19"/>
      <c r="G139" s="4">
        <f>IF(F139&gt;0,F139,IF(PrefetchDBSummary!$C$10="B",AJ139,8))</f>
        <v>8</v>
      </c>
      <c r="H139" s="4">
        <f>PrefetchDBSummary!$C$31</f>
        <v>0</v>
      </c>
      <c r="I139" s="4">
        <f>PrefetchDBSummary!$D$31</f>
        <v>0</v>
      </c>
      <c r="J139" s="5">
        <f t="shared" si="17"/>
        <v>0</v>
      </c>
      <c r="K139" s="4">
        <f t="shared" si="18"/>
        <v>0</v>
      </c>
      <c r="L139" s="4">
        <f t="shared" si="19"/>
        <v>0</v>
      </c>
      <c r="M139" s="5">
        <f t="shared" si="20"/>
        <v>0</v>
      </c>
      <c r="N139" s="17">
        <f t="shared" si="29"/>
        <v>0</v>
      </c>
      <c r="O139" s="32">
        <f t="shared" si="30"/>
        <v>0</v>
      </c>
      <c r="AG139" t="s">
        <v>411</v>
      </c>
      <c r="AH139" t="s">
        <v>583</v>
      </c>
      <c r="AI139">
        <v>1</v>
      </c>
      <c r="AJ139">
        <v>15</v>
      </c>
      <c r="AK139">
        <v>9</v>
      </c>
      <c r="AL139">
        <v>5</v>
      </c>
      <c r="AM139">
        <v>761</v>
      </c>
      <c r="AN139">
        <v>1004</v>
      </c>
      <c r="AO139">
        <v>664</v>
      </c>
      <c r="AQ139" s="27">
        <f t="shared" si="21"/>
        <v>421</v>
      </c>
    </row>
    <row r="140" spans="1:43" ht="12.75">
      <c r="A140" s="18" t="s">
        <v>426</v>
      </c>
      <c r="B140" s="18" t="s">
        <v>427</v>
      </c>
      <c r="C140" t="s">
        <v>285</v>
      </c>
      <c r="D140" s="19">
        <v>0</v>
      </c>
      <c r="E140" s="7" t="s">
        <v>731</v>
      </c>
      <c r="F140" s="19"/>
      <c r="G140" s="4">
        <f>IF(F140&gt;0,F140,IF(PrefetchDBSummary!$C$10="B",AJ140,8))</f>
        <v>8</v>
      </c>
      <c r="H140" s="4">
        <f>PrefetchDBSummary!$C$31</f>
        <v>0</v>
      </c>
      <c r="I140" s="4">
        <f>PrefetchDBSummary!$D$31</f>
        <v>0</v>
      </c>
      <c r="J140" s="5">
        <f t="shared" si="17"/>
        <v>0</v>
      </c>
      <c r="K140" s="4">
        <f t="shared" si="18"/>
        <v>0</v>
      </c>
      <c r="L140" s="4">
        <f t="shared" si="19"/>
        <v>0</v>
      </c>
      <c r="M140" s="5">
        <f t="shared" si="20"/>
        <v>0</v>
      </c>
      <c r="N140" s="17">
        <f t="shared" si="29"/>
        <v>0</v>
      </c>
      <c r="O140" s="32">
        <f t="shared" si="30"/>
        <v>0</v>
      </c>
      <c r="AG140" t="s">
        <v>412</v>
      </c>
      <c r="AH140" t="s">
        <v>583</v>
      </c>
      <c r="AI140">
        <v>1</v>
      </c>
      <c r="AJ140">
        <v>15</v>
      </c>
      <c r="AK140">
        <v>10</v>
      </c>
      <c r="AL140">
        <v>7</v>
      </c>
      <c r="AM140">
        <v>754</v>
      </c>
      <c r="AN140">
        <v>1051</v>
      </c>
      <c r="AO140">
        <v>664</v>
      </c>
      <c r="AQ140" s="27">
        <f t="shared" si="21"/>
        <v>440</v>
      </c>
    </row>
    <row r="141" spans="1:43" ht="12.75">
      <c r="A141" s="18" t="s">
        <v>426</v>
      </c>
      <c r="B141" s="18" t="s">
        <v>427</v>
      </c>
      <c r="C141" t="s">
        <v>286</v>
      </c>
      <c r="D141" s="19">
        <v>2</v>
      </c>
      <c r="E141" s="7" t="s">
        <v>732</v>
      </c>
      <c r="F141" s="19"/>
      <c r="G141" s="4">
        <f>IF(F141&gt;0,F141,IF(PrefetchDBSummary!$C$10="B",AJ141,8))</f>
        <v>8</v>
      </c>
      <c r="H141" s="4">
        <f>PrefetchDBSummary!$C$31</f>
        <v>0</v>
      </c>
      <c r="I141" s="4">
        <f>PrefetchDBSummary!$D$31</f>
        <v>0</v>
      </c>
      <c r="J141" s="5">
        <f t="shared" si="17"/>
        <v>0</v>
      </c>
      <c r="K141" s="4">
        <f t="shared" si="18"/>
        <v>0</v>
      </c>
      <c r="L141" s="4">
        <f t="shared" si="19"/>
        <v>0</v>
      </c>
      <c r="M141" s="5">
        <f t="shared" si="20"/>
        <v>0</v>
      </c>
      <c r="N141" s="17">
        <f t="shared" si="29"/>
        <v>0</v>
      </c>
      <c r="O141" s="32">
        <f t="shared" si="30"/>
        <v>0</v>
      </c>
      <c r="AG141" t="s">
        <v>310</v>
      </c>
      <c r="AH141" t="s">
        <v>583</v>
      </c>
      <c r="AI141">
        <v>5</v>
      </c>
      <c r="AJ141">
        <v>8</v>
      </c>
      <c r="AK141">
        <v>8</v>
      </c>
      <c r="AL141">
        <v>6</v>
      </c>
      <c r="AM141">
        <v>696</v>
      </c>
      <c r="AN141">
        <v>786</v>
      </c>
      <c r="AO141">
        <v>664</v>
      </c>
      <c r="AQ141" s="27">
        <f t="shared" si="21"/>
        <v>1043.2</v>
      </c>
    </row>
    <row r="142" spans="1:43" ht="12.75">
      <c r="A142" s="18" t="s">
        <v>426</v>
      </c>
      <c r="B142" s="18" t="s">
        <v>427</v>
      </c>
      <c r="C142" t="s">
        <v>441</v>
      </c>
      <c r="D142" s="19">
        <v>0</v>
      </c>
      <c r="E142" s="7" t="s">
        <v>733</v>
      </c>
      <c r="F142" s="19"/>
      <c r="G142" s="4">
        <f>IF(F142&gt;0,F142,IF(PrefetchDBSummary!$C$10="B",AJ142,8))</f>
        <v>8</v>
      </c>
      <c r="H142" s="4">
        <f>PrefetchDBSummary!$C$31</f>
        <v>0</v>
      </c>
      <c r="I142" s="4">
        <f>PrefetchDBSummary!$D$31</f>
        <v>0</v>
      </c>
      <c r="J142" s="5">
        <f t="shared" si="17"/>
        <v>0</v>
      </c>
      <c r="K142" s="4">
        <f t="shared" si="18"/>
        <v>0</v>
      </c>
      <c r="L142" s="4">
        <f t="shared" si="19"/>
        <v>0</v>
      </c>
      <c r="M142" s="5">
        <f t="shared" si="20"/>
        <v>0</v>
      </c>
      <c r="N142" s="17">
        <f t="shared" si="29"/>
        <v>0</v>
      </c>
      <c r="O142" s="32">
        <f t="shared" si="30"/>
        <v>0</v>
      </c>
      <c r="AG142" t="s">
        <v>442</v>
      </c>
      <c r="AH142" t="s">
        <v>583</v>
      </c>
      <c r="AI142">
        <v>1</v>
      </c>
      <c r="AJ142">
        <v>15</v>
      </c>
      <c r="AK142">
        <v>8</v>
      </c>
      <c r="AL142">
        <v>4</v>
      </c>
      <c r="AM142">
        <v>720</v>
      </c>
      <c r="AN142">
        <v>888</v>
      </c>
      <c r="AO142">
        <v>664</v>
      </c>
      <c r="AQ142" s="27">
        <f t="shared" si="21"/>
        <v>402</v>
      </c>
    </row>
    <row r="143" spans="1:43" ht="12.75">
      <c r="A143" s="18" t="s">
        <v>426</v>
      </c>
      <c r="B143" s="18" t="s">
        <v>427</v>
      </c>
      <c r="C143" t="s">
        <v>361</v>
      </c>
      <c r="D143" s="19">
        <v>1</v>
      </c>
      <c r="E143" s="7" t="str">
        <f>IF(AH143="S","Always one row per interval","")</f>
        <v>Always one row per interval</v>
      </c>
      <c r="F143" s="19"/>
      <c r="G143" s="4">
        <f>IF(F143&gt;0,F143,IF(PrefetchDBSummary!$C$10="B",AJ143,8))</f>
        <v>8</v>
      </c>
      <c r="H143" s="4">
        <f>PrefetchDBSummary!$C$31</f>
        <v>0</v>
      </c>
      <c r="I143" s="4">
        <f>PrefetchDBSummary!$D$31</f>
        <v>0</v>
      </c>
      <c r="J143" s="5">
        <f t="shared" si="17"/>
        <v>0</v>
      </c>
      <c r="K143" s="4">
        <f t="shared" si="18"/>
        <v>0</v>
      </c>
      <c r="L143" s="4">
        <f t="shared" si="19"/>
        <v>0</v>
      </c>
      <c r="M143" s="5">
        <f t="shared" si="20"/>
        <v>0</v>
      </c>
      <c r="N143" s="17">
        <f t="shared" si="29"/>
        <v>0</v>
      </c>
      <c r="O143" s="32">
        <f t="shared" si="30"/>
        <v>0</v>
      </c>
      <c r="AG143" t="s">
        <v>362</v>
      </c>
      <c r="AH143" t="s">
        <v>582</v>
      </c>
      <c r="AI143">
        <v>1</v>
      </c>
      <c r="AJ143">
        <v>8</v>
      </c>
      <c r="AK143">
        <v>5</v>
      </c>
      <c r="AL143">
        <v>3</v>
      </c>
      <c r="AM143">
        <v>109</v>
      </c>
      <c r="AN143">
        <v>238</v>
      </c>
      <c r="AO143">
        <v>64</v>
      </c>
      <c r="AQ143" s="27">
        <f t="shared" si="21"/>
        <v>438.6</v>
      </c>
    </row>
    <row r="144" spans="1:43" ht="12.75">
      <c r="A144" s="18" t="s">
        <v>426</v>
      </c>
      <c r="B144" s="18" t="s">
        <v>427</v>
      </c>
      <c r="C144" t="s">
        <v>1520</v>
      </c>
      <c r="D144" s="19">
        <v>1</v>
      </c>
      <c r="E144" s="7"/>
      <c r="F144" s="19"/>
      <c r="G144" s="4">
        <f>IF(F144&gt;0,F144,IF(PrefetchDBSummary!$C$10="B",AJ144,8))</f>
        <v>8</v>
      </c>
      <c r="H144" s="4">
        <f>PrefetchDBSummary!$C$31</f>
        <v>0</v>
      </c>
      <c r="I144" s="4">
        <f>PrefetchDBSummary!$D$31</f>
        <v>0</v>
      </c>
      <c r="J144" s="5">
        <f t="shared" si="17"/>
        <v>0</v>
      </c>
      <c r="K144" s="4">
        <f t="shared" si="18"/>
        <v>0</v>
      </c>
      <c r="L144" s="4">
        <f t="shared" si="19"/>
        <v>0</v>
      </c>
      <c r="M144" s="5">
        <f t="shared" si="20"/>
        <v>0</v>
      </c>
      <c r="N144" s="17">
        <f t="shared" si="29"/>
        <v>0</v>
      </c>
      <c r="O144" s="32">
        <f t="shared" si="30"/>
        <v>0</v>
      </c>
      <c r="AG144" t="s">
        <v>1519</v>
      </c>
      <c r="AH144" t="s">
        <v>583</v>
      </c>
      <c r="AI144">
        <v>5</v>
      </c>
      <c r="AJ144">
        <v>8</v>
      </c>
      <c r="AK144">
        <v>10</v>
      </c>
      <c r="AL144">
        <v>3</v>
      </c>
      <c r="AM144">
        <v>1678</v>
      </c>
      <c r="AN144">
        <v>1831</v>
      </c>
      <c r="AO144">
        <v>1600</v>
      </c>
      <c r="AQ144" s="27">
        <f t="shared" si="21"/>
        <v>1181</v>
      </c>
    </row>
    <row r="145" spans="1:43" ht="12.75">
      <c r="A145" s="18" t="s">
        <v>426</v>
      </c>
      <c r="B145" s="18" t="s">
        <v>427</v>
      </c>
      <c r="C145" t="s">
        <v>443</v>
      </c>
      <c r="D145" s="19">
        <v>0</v>
      </c>
      <c r="E145" s="7" t="s">
        <v>735</v>
      </c>
      <c r="F145" s="19"/>
      <c r="G145" s="4">
        <f>IF(F145&gt;0,F145,IF(PrefetchDBSummary!$C$10="B",AJ145,8))</f>
        <v>8</v>
      </c>
      <c r="H145" s="4">
        <f>PrefetchDBSummary!$C$31</f>
        <v>0</v>
      </c>
      <c r="I145" s="4">
        <f>PrefetchDBSummary!$D$31</f>
        <v>0</v>
      </c>
      <c r="J145" s="5">
        <f t="shared" si="17"/>
        <v>0</v>
      </c>
      <c r="K145" s="4">
        <f t="shared" si="18"/>
        <v>0</v>
      </c>
      <c r="L145" s="4">
        <f t="shared" si="19"/>
        <v>0</v>
      </c>
      <c r="M145" s="5">
        <f t="shared" si="20"/>
        <v>0</v>
      </c>
      <c r="N145" s="17">
        <f t="shared" si="29"/>
        <v>0</v>
      </c>
      <c r="O145" s="32">
        <f t="shared" si="30"/>
        <v>0</v>
      </c>
      <c r="AG145" t="s">
        <v>444</v>
      </c>
      <c r="AH145" t="s">
        <v>583</v>
      </c>
      <c r="AI145">
        <v>1</v>
      </c>
      <c r="AJ145">
        <v>8</v>
      </c>
      <c r="AK145">
        <v>10</v>
      </c>
      <c r="AL145">
        <v>6</v>
      </c>
      <c r="AM145">
        <v>718</v>
      </c>
      <c r="AN145">
        <v>904</v>
      </c>
      <c r="AO145">
        <v>664</v>
      </c>
      <c r="AQ145" s="27">
        <f t="shared" si="21"/>
        <v>440</v>
      </c>
    </row>
    <row r="146" spans="1:43" ht="12.75">
      <c r="A146" s="18" t="s">
        <v>426</v>
      </c>
      <c r="B146" s="18" t="s">
        <v>427</v>
      </c>
      <c r="C146" t="s">
        <v>385</v>
      </c>
      <c r="D146" s="19">
        <v>1</v>
      </c>
      <c r="E146" s="7" t="str">
        <f>IF(AH146="S","Always one row per interval","")</f>
        <v>Always one row per interval</v>
      </c>
      <c r="F146" s="19"/>
      <c r="G146" s="4">
        <f>IF(F146&gt;0,F146,IF(PrefetchDBSummary!$C$10="B",AJ146,8))</f>
        <v>8</v>
      </c>
      <c r="H146" s="4">
        <f>PrefetchDBSummary!$C$31</f>
        <v>0</v>
      </c>
      <c r="I146" s="4">
        <f>PrefetchDBSummary!$D$31</f>
        <v>0</v>
      </c>
      <c r="J146" s="5">
        <f t="shared" si="17"/>
        <v>0</v>
      </c>
      <c r="K146" s="4">
        <f t="shared" si="18"/>
        <v>0</v>
      </c>
      <c r="L146" s="4">
        <f t="shared" si="19"/>
        <v>0</v>
      </c>
      <c r="M146" s="5">
        <f t="shared" si="20"/>
        <v>0</v>
      </c>
      <c r="N146" s="17">
        <f t="shared" si="29"/>
        <v>0</v>
      </c>
      <c r="O146" s="32">
        <f t="shared" si="30"/>
        <v>0</v>
      </c>
      <c r="AG146" t="s">
        <v>311</v>
      </c>
      <c r="AH146" t="s">
        <v>582</v>
      </c>
      <c r="AI146">
        <v>30</v>
      </c>
      <c r="AJ146">
        <v>8</v>
      </c>
      <c r="AK146">
        <v>12</v>
      </c>
      <c r="AL146">
        <v>2</v>
      </c>
      <c r="AM146">
        <v>2731</v>
      </c>
      <c r="AN146">
        <v>2833</v>
      </c>
      <c r="AO146">
        <v>2664</v>
      </c>
      <c r="AQ146" s="27">
        <f t="shared" si="21"/>
        <v>1633.6000000000001</v>
      </c>
    </row>
    <row r="147" spans="1:43" ht="12.75">
      <c r="A147" s="18" t="s">
        <v>426</v>
      </c>
      <c r="B147" s="18" t="s">
        <v>427</v>
      </c>
      <c r="C147" t="s">
        <v>386</v>
      </c>
      <c r="D147" s="19">
        <v>15</v>
      </c>
      <c r="E147" s="7" t="s">
        <v>736</v>
      </c>
      <c r="F147" s="19"/>
      <c r="G147" s="4">
        <f>IF(F147&gt;0,F147,IF(PrefetchDBSummary!$C$10="B",AJ147,8))</f>
        <v>8</v>
      </c>
      <c r="H147" s="4">
        <f>PrefetchDBSummary!$C$31</f>
        <v>0</v>
      </c>
      <c r="I147" s="4">
        <f>PrefetchDBSummary!$D$31</f>
        <v>0</v>
      </c>
      <c r="J147" s="5">
        <f t="shared" si="17"/>
        <v>0</v>
      </c>
      <c r="K147" s="4">
        <f t="shared" si="18"/>
        <v>0</v>
      </c>
      <c r="L147" s="4">
        <f t="shared" si="19"/>
        <v>0</v>
      </c>
      <c r="M147" s="5">
        <f t="shared" si="20"/>
        <v>0</v>
      </c>
      <c r="N147" s="17">
        <f t="shared" si="29"/>
        <v>0</v>
      </c>
      <c r="O147" s="32">
        <f t="shared" si="30"/>
        <v>0</v>
      </c>
      <c r="AG147" t="s">
        <v>387</v>
      </c>
      <c r="AH147" t="s">
        <v>583</v>
      </c>
      <c r="AI147">
        <v>5</v>
      </c>
      <c r="AJ147">
        <v>8</v>
      </c>
      <c r="AK147">
        <v>5</v>
      </c>
      <c r="AL147">
        <v>0</v>
      </c>
      <c r="AM147">
        <v>465</v>
      </c>
      <c r="AN147">
        <v>465</v>
      </c>
      <c r="AO147">
        <v>448</v>
      </c>
      <c r="AQ147" s="27">
        <f t="shared" si="21"/>
        <v>3633.0000000000005</v>
      </c>
    </row>
    <row r="148" spans="1:43" ht="12.75">
      <c r="A148" s="18" t="s">
        <v>426</v>
      </c>
      <c r="B148" s="18" t="s">
        <v>427</v>
      </c>
      <c r="C148" t="s">
        <v>291</v>
      </c>
      <c r="D148" s="19">
        <v>1</v>
      </c>
      <c r="E148" s="7" t="s">
        <v>734</v>
      </c>
      <c r="F148" s="19"/>
      <c r="G148" s="4">
        <f>IF(F148&gt;0,F148,IF(PrefetchDBSummary!$C$10="B",AJ148,8))</f>
        <v>8</v>
      </c>
      <c r="H148" s="4">
        <f>PrefetchDBSummary!$C$31</f>
        <v>0</v>
      </c>
      <c r="I148" s="4">
        <f>PrefetchDBSummary!$D$31</f>
        <v>0</v>
      </c>
      <c r="J148" s="5">
        <f t="shared" si="17"/>
        <v>0</v>
      </c>
      <c r="K148" s="4">
        <f t="shared" si="18"/>
        <v>0</v>
      </c>
      <c r="L148" s="4">
        <f t="shared" si="19"/>
        <v>0</v>
      </c>
      <c r="M148" s="5">
        <f t="shared" si="20"/>
        <v>0</v>
      </c>
      <c r="N148" s="17">
        <f t="shared" si="29"/>
        <v>0</v>
      </c>
      <c r="O148" s="32">
        <f t="shared" si="30"/>
        <v>0</v>
      </c>
      <c r="AG148" t="s">
        <v>292</v>
      </c>
      <c r="AH148" t="s">
        <v>583</v>
      </c>
      <c r="AI148">
        <v>5</v>
      </c>
      <c r="AJ148">
        <v>8</v>
      </c>
      <c r="AK148">
        <v>6</v>
      </c>
      <c r="AL148">
        <v>4</v>
      </c>
      <c r="AM148">
        <v>506</v>
      </c>
      <c r="AN148">
        <v>674</v>
      </c>
      <c r="AO148">
        <v>448</v>
      </c>
      <c r="AQ148" s="27">
        <f t="shared" si="21"/>
        <v>624.2</v>
      </c>
    </row>
    <row r="149" spans="1:43" ht="12.75">
      <c r="A149" s="18" t="s">
        <v>426</v>
      </c>
      <c r="B149" s="18" t="s">
        <v>427</v>
      </c>
      <c r="C149" t="s">
        <v>293</v>
      </c>
      <c r="D149" s="19">
        <v>1</v>
      </c>
      <c r="E149" s="7" t="s">
        <v>728</v>
      </c>
      <c r="F149" s="19"/>
      <c r="G149" s="4">
        <f>IF(F149&gt;0,F149,IF(PrefetchDBSummary!$C$10="B",AJ149,8))</f>
        <v>8</v>
      </c>
      <c r="H149" s="4">
        <f>PrefetchDBSummary!$C$31</f>
        <v>0</v>
      </c>
      <c r="I149" s="4">
        <f>PrefetchDBSummary!$D$31</f>
        <v>0</v>
      </c>
      <c r="J149" s="5">
        <f aca="true" t="shared" si="38" ref="J149:J247">IF(H149&gt;0,(AQ149)/(AI149*60),IF(I149&gt;0,(AQ149)/(5*60),0))</f>
        <v>0</v>
      </c>
      <c r="K149" s="4">
        <f aca="true" t="shared" si="39" ref="K149:K247">IF(H149&gt;0,D149/AI149,IF(I149&gt;0,D149/5,0))</f>
        <v>0</v>
      </c>
      <c r="L149" s="4">
        <f aca="true" t="shared" si="40" ref="L149:L247">H149*D149/AI149+I149*D149/5</f>
        <v>0</v>
      </c>
      <c r="M149" s="5">
        <f aca="true" t="shared" si="41" ref="M149:M247">L149*AM149*(1-IF(AP149&gt;0,AP149,$AS$2)*$AS$3)/1024</f>
        <v>0</v>
      </c>
      <c r="N149" s="17">
        <f t="shared" si="29"/>
        <v>0</v>
      </c>
      <c r="O149" s="32">
        <f t="shared" si="30"/>
        <v>0</v>
      </c>
      <c r="AG149" t="s">
        <v>294</v>
      </c>
      <c r="AH149" t="s">
        <v>583</v>
      </c>
      <c r="AI149">
        <v>1</v>
      </c>
      <c r="AJ149">
        <v>15</v>
      </c>
      <c r="AK149">
        <v>12</v>
      </c>
      <c r="AL149">
        <v>9</v>
      </c>
      <c r="AM149">
        <v>512</v>
      </c>
      <c r="AN149">
        <v>863</v>
      </c>
      <c r="AO149">
        <v>448</v>
      </c>
      <c r="AQ149" s="27">
        <f t="shared" si="21"/>
        <v>744.2</v>
      </c>
    </row>
    <row r="150" spans="1:43" ht="25.5">
      <c r="A150" t="s">
        <v>2186</v>
      </c>
      <c r="B150" s="7" t="s">
        <v>2187</v>
      </c>
      <c r="C150" t="s">
        <v>2189</v>
      </c>
      <c r="D150" s="19">
        <v>300</v>
      </c>
      <c r="E150" s="12" t="s">
        <v>2235</v>
      </c>
      <c r="F150" s="19"/>
      <c r="G150" s="4">
        <f>IF(F150&gt;0,F150,IF(PrefetchDBSummary!$C$10="B",AJ150,8))</f>
        <v>8</v>
      </c>
      <c r="H150" s="4">
        <f>PrefetchDBSummary!$C$60</f>
        <v>1</v>
      </c>
      <c r="I150" s="4">
        <f>PrefetchDBSummary!$D$31</f>
        <v>0</v>
      </c>
      <c r="J150" s="5">
        <f aca="true" t="shared" si="42" ref="J150:J169">IF(H150&gt;0,(AQ150)/(AI150*60),IF(I150&gt;0,(AQ150)/(5*60),0))</f>
        <v>2446.0666666666666</v>
      </c>
      <c r="K150" s="4">
        <f aca="true" t="shared" si="43" ref="K150:K169">IF(H150&gt;0,D150/AI150,IF(I150&gt;0,D150/5,0))</f>
        <v>150</v>
      </c>
      <c r="L150" s="4">
        <f aca="true" t="shared" si="44" ref="L150:L169">H150*D150/AI150+I150*D150/5</f>
        <v>150</v>
      </c>
      <c r="M150" s="5">
        <f aca="true" t="shared" si="45" ref="M150:M169">L150*AM150*(1-IF(AP150&gt;0,AP150,$AS$2)*$AS$3)/1024</f>
        <v>168.03515625</v>
      </c>
      <c r="N150" s="17">
        <f aca="true" t="shared" si="46" ref="N150:N169">L150*60*24*IF(G150&gt;0,G150,(G150))</f>
        <v>1728000</v>
      </c>
      <c r="O150" s="32">
        <f aca="true" t="shared" si="47" ref="O150:O169">N150*($AM150-$AO150*IF($AP150&gt;0,1-$AP150,1-$AS$2))*(1-$AS$3)/1024/1024</f>
        <v>451.8017578124999</v>
      </c>
      <c r="AG150" t="s">
        <v>2209</v>
      </c>
      <c r="AH150" t="s">
        <v>583</v>
      </c>
      <c r="AI150">
        <v>2</v>
      </c>
      <c r="AJ150">
        <v>8</v>
      </c>
      <c r="AK150">
        <v>22</v>
      </c>
      <c r="AL150">
        <v>5</v>
      </c>
      <c r="AM150">
        <v>2206</v>
      </c>
      <c r="AN150">
        <v>2421</v>
      </c>
      <c r="AO150">
        <v>2088</v>
      </c>
      <c r="AQ150" s="27">
        <f aca="true" t="shared" si="48" ref="AQ150:AQ169">250+19*AK150+D150*(23+(AM150-AO150)+AO150*(1-IF(AP150&gt;0,AP150,$AS$2)))</f>
        <v>293528</v>
      </c>
    </row>
    <row r="151" spans="1:43" ht="12.75">
      <c r="A151" t="s">
        <v>2186</v>
      </c>
      <c r="B151" s="7" t="s">
        <v>2187</v>
      </c>
      <c r="C151" t="s">
        <v>2190</v>
      </c>
      <c r="D151" s="19">
        <v>20</v>
      </c>
      <c r="E151" s="12" t="s">
        <v>2236</v>
      </c>
      <c r="F151" s="19"/>
      <c r="G151" s="4">
        <f>IF(F151&gt;0,F151,IF(PrefetchDBSummary!$C$10="B",AJ151,8))</f>
        <v>8</v>
      </c>
      <c r="H151" s="4">
        <f>PrefetchDBSummary!$C$60</f>
        <v>1</v>
      </c>
      <c r="I151" s="4">
        <f>PrefetchDBSummary!$D$31</f>
        <v>0</v>
      </c>
      <c r="J151" s="5">
        <f t="shared" si="42"/>
        <v>45.18333333333333</v>
      </c>
      <c r="K151" s="4">
        <f t="shared" si="43"/>
        <v>10</v>
      </c>
      <c r="L151" s="4">
        <f t="shared" si="44"/>
        <v>10</v>
      </c>
      <c r="M151" s="5">
        <f t="shared" si="45"/>
        <v>2.6203125000000003</v>
      </c>
      <c r="N151" s="17">
        <f t="shared" si="46"/>
        <v>115200</v>
      </c>
      <c r="O151" s="32">
        <f t="shared" si="47"/>
        <v>7.119140624999998</v>
      </c>
      <c r="AG151" t="s">
        <v>2210</v>
      </c>
      <c r="AH151" t="s">
        <v>583</v>
      </c>
      <c r="AI151">
        <v>2</v>
      </c>
      <c r="AJ151">
        <v>8</v>
      </c>
      <c r="AK151">
        <v>8</v>
      </c>
      <c r="AL151">
        <v>1</v>
      </c>
      <c r="AM151">
        <v>516</v>
      </c>
      <c r="AN151">
        <v>559</v>
      </c>
      <c r="AO151">
        <v>480</v>
      </c>
      <c r="AQ151" s="27">
        <f t="shared" si="48"/>
        <v>5422</v>
      </c>
    </row>
    <row r="152" spans="1:43" ht="25.5">
      <c r="A152" t="s">
        <v>2186</v>
      </c>
      <c r="B152" s="7" t="s">
        <v>2187</v>
      </c>
      <c r="C152" t="s">
        <v>2191</v>
      </c>
      <c r="D152" s="19">
        <v>3</v>
      </c>
      <c r="E152" s="12" t="s">
        <v>2234</v>
      </c>
      <c r="F152" s="19"/>
      <c r="G152" s="4">
        <f>IF(F152&gt;0,F152,IF(PrefetchDBSummary!$C$10="B",AJ152,8))</f>
        <v>8</v>
      </c>
      <c r="H152" s="4">
        <f>PrefetchDBSummary!$C$60</f>
        <v>1</v>
      </c>
      <c r="I152" s="4">
        <f>PrefetchDBSummary!$D$31</f>
        <v>0</v>
      </c>
      <c r="J152" s="5">
        <f t="shared" si="42"/>
        <v>5.901666666666667</v>
      </c>
      <c r="K152" s="4">
        <f t="shared" si="43"/>
        <v>1.5</v>
      </c>
      <c r="L152" s="4">
        <f t="shared" si="44"/>
        <v>1.5</v>
      </c>
      <c r="M152" s="5">
        <f t="shared" si="45"/>
        <v>0.09064453125000001</v>
      </c>
      <c r="N152" s="17">
        <f t="shared" si="46"/>
        <v>17280</v>
      </c>
      <c r="O152" s="32">
        <f t="shared" si="47"/>
        <v>0.3183837890624999</v>
      </c>
      <c r="AG152" t="s">
        <v>2211</v>
      </c>
      <c r="AH152" t="s">
        <v>583</v>
      </c>
      <c r="AI152">
        <v>2</v>
      </c>
      <c r="AJ152">
        <v>32</v>
      </c>
      <c r="AK152">
        <v>7</v>
      </c>
      <c r="AL152">
        <v>4</v>
      </c>
      <c r="AM152">
        <v>119</v>
      </c>
      <c r="AN152">
        <v>299</v>
      </c>
      <c r="AO152">
        <v>56</v>
      </c>
      <c r="AQ152" s="27">
        <f t="shared" si="48"/>
        <v>708.2</v>
      </c>
    </row>
    <row r="153" spans="1:43" ht="12.75">
      <c r="A153" t="s">
        <v>2186</v>
      </c>
      <c r="B153" s="7" t="s">
        <v>2187</v>
      </c>
      <c r="C153" t="s">
        <v>2192</v>
      </c>
      <c r="D153" s="19">
        <v>1</v>
      </c>
      <c r="E153" s="12" t="s">
        <v>710</v>
      </c>
      <c r="F153" s="19"/>
      <c r="G153" s="4">
        <f>IF(F153&gt;0,F153,IF(PrefetchDBSummary!$C$10="B",AJ153,8))</f>
        <v>8</v>
      </c>
      <c r="H153" s="4">
        <f>PrefetchDBSummary!$C$60</f>
        <v>1</v>
      </c>
      <c r="I153" s="4">
        <f>PrefetchDBSummary!$D$31</f>
        <v>0</v>
      </c>
      <c r="J153" s="5">
        <f t="shared" si="42"/>
        <v>3.7816666666666667</v>
      </c>
      <c r="K153" s="4">
        <f t="shared" si="43"/>
        <v>0.5</v>
      </c>
      <c r="L153" s="4">
        <f t="shared" si="44"/>
        <v>0.5</v>
      </c>
      <c r="M153" s="5">
        <f t="shared" si="45"/>
        <v>0.0218359375</v>
      </c>
      <c r="N153" s="17">
        <f t="shared" si="46"/>
        <v>5760</v>
      </c>
      <c r="O153" s="32">
        <f t="shared" si="47"/>
        <v>0.08041992187499998</v>
      </c>
      <c r="AG153" t="s">
        <v>2212</v>
      </c>
      <c r="AH153" t="s">
        <v>582</v>
      </c>
      <c r="AI153">
        <v>2</v>
      </c>
      <c r="AJ153">
        <v>32</v>
      </c>
      <c r="AK153">
        <v>6</v>
      </c>
      <c r="AL153">
        <v>4</v>
      </c>
      <c r="AM153">
        <v>86</v>
      </c>
      <c r="AN153">
        <v>258</v>
      </c>
      <c r="AO153">
        <v>32</v>
      </c>
      <c r="AQ153" s="27">
        <f t="shared" si="48"/>
        <v>453.8</v>
      </c>
    </row>
    <row r="154" spans="1:43" ht="12.75">
      <c r="A154" t="s">
        <v>2186</v>
      </c>
      <c r="B154" s="7" t="s">
        <v>2187</v>
      </c>
      <c r="C154" t="s">
        <v>2193</v>
      </c>
      <c r="D154" s="19">
        <v>800</v>
      </c>
      <c r="E154" s="12" t="s">
        <v>2237</v>
      </c>
      <c r="F154" s="19"/>
      <c r="G154" s="4">
        <f>IF(F154&gt;0,F154,IF(PrefetchDBSummary!$C$10="B",AJ154,8))</f>
        <v>8</v>
      </c>
      <c r="H154" s="4">
        <f>PrefetchDBSummary!$C$60</f>
        <v>1</v>
      </c>
      <c r="I154" s="4">
        <f>PrefetchDBSummary!$D$31</f>
        <v>0</v>
      </c>
      <c r="J154" s="5">
        <f t="shared" si="42"/>
        <v>3280.525</v>
      </c>
      <c r="K154" s="4">
        <f t="shared" si="43"/>
        <v>400</v>
      </c>
      <c r="L154" s="4">
        <f t="shared" si="44"/>
        <v>400</v>
      </c>
      <c r="M154" s="5">
        <f t="shared" si="45"/>
        <v>229.734375</v>
      </c>
      <c r="N154" s="17">
        <f t="shared" si="46"/>
        <v>4608000</v>
      </c>
      <c r="O154" s="32">
        <f t="shared" si="47"/>
        <v>605.9179687499999</v>
      </c>
      <c r="AG154" t="s">
        <v>2213</v>
      </c>
      <c r="AH154" t="s">
        <v>583</v>
      </c>
      <c r="AI154">
        <v>2</v>
      </c>
      <c r="AJ154">
        <v>8</v>
      </c>
      <c r="AK154">
        <v>7</v>
      </c>
      <c r="AL154">
        <v>0</v>
      </c>
      <c r="AM154">
        <v>1131</v>
      </c>
      <c r="AN154">
        <v>1131</v>
      </c>
      <c r="AO154">
        <v>1104</v>
      </c>
      <c r="AQ154" s="27">
        <f t="shared" si="48"/>
        <v>393663</v>
      </c>
    </row>
    <row r="155" spans="1:43" ht="12.75">
      <c r="A155" t="s">
        <v>2186</v>
      </c>
      <c r="B155" s="7" t="s">
        <v>2187</v>
      </c>
      <c r="C155" t="s">
        <v>2194</v>
      </c>
      <c r="D155" s="19">
        <v>1</v>
      </c>
      <c r="E155" s="12" t="s">
        <v>710</v>
      </c>
      <c r="F155" s="19"/>
      <c r="G155" s="4">
        <f>IF(F155&gt;0,F155,IF(PrefetchDBSummary!$C$10="B",AJ155,8))</f>
        <v>8</v>
      </c>
      <c r="H155" s="4">
        <f>PrefetchDBSummary!$C$60</f>
        <v>1</v>
      </c>
      <c r="I155" s="4">
        <f>PrefetchDBSummary!$D$31</f>
        <v>0</v>
      </c>
      <c r="J155" s="5">
        <f t="shared" si="42"/>
        <v>10.296666666666665</v>
      </c>
      <c r="K155" s="4">
        <f t="shared" si="43"/>
        <v>1</v>
      </c>
      <c r="L155" s="4">
        <f t="shared" si="44"/>
        <v>1</v>
      </c>
      <c r="M155" s="5">
        <f t="shared" si="45"/>
        <v>0.07871093750000001</v>
      </c>
      <c r="N155" s="17">
        <f t="shared" si="46"/>
        <v>11520</v>
      </c>
      <c r="O155" s="32">
        <f t="shared" si="47"/>
        <v>0.3124511718749999</v>
      </c>
      <c r="AG155" t="s">
        <v>2214</v>
      </c>
      <c r="AH155" t="s">
        <v>582</v>
      </c>
      <c r="AI155">
        <v>1</v>
      </c>
      <c r="AJ155">
        <v>32</v>
      </c>
      <c r="AK155">
        <v>11</v>
      </c>
      <c r="AL155">
        <v>9</v>
      </c>
      <c r="AM155">
        <v>155</v>
      </c>
      <c r="AN155">
        <v>566</v>
      </c>
      <c r="AO155">
        <v>32</v>
      </c>
      <c r="AQ155" s="27">
        <f t="shared" si="48"/>
        <v>617.8</v>
      </c>
    </row>
    <row r="156" spans="1:43" ht="12.75">
      <c r="A156" t="s">
        <v>2186</v>
      </c>
      <c r="B156" s="7" t="s">
        <v>2187</v>
      </c>
      <c r="C156" t="s">
        <v>2195</v>
      </c>
      <c r="D156" s="19">
        <v>1</v>
      </c>
      <c r="E156" s="12" t="s">
        <v>710</v>
      </c>
      <c r="F156" s="19"/>
      <c r="G156" s="4">
        <f>IF(F156&gt;0,F156,IF(PrefetchDBSummary!$C$10="B",AJ156,8))</f>
        <v>8</v>
      </c>
      <c r="H156" s="4">
        <f>PrefetchDBSummary!$C$60</f>
        <v>1</v>
      </c>
      <c r="I156" s="4">
        <f>PrefetchDBSummary!$D$31</f>
        <v>0</v>
      </c>
      <c r="J156" s="5">
        <f t="shared" si="42"/>
        <v>4.015</v>
      </c>
      <c r="K156" s="4">
        <f t="shared" si="43"/>
        <v>0.5</v>
      </c>
      <c r="L156" s="4">
        <f t="shared" si="44"/>
        <v>0.5</v>
      </c>
      <c r="M156" s="5">
        <f t="shared" si="45"/>
        <v>0.02412109375</v>
      </c>
      <c r="N156" s="17">
        <f t="shared" si="46"/>
        <v>5760</v>
      </c>
      <c r="O156" s="32">
        <f t="shared" si="47"/>
        <v>0.09030761718749998</v>
      </c>
      <c r="AG156" t="s">
        <v>2215</v>
      </c>
      <c r="AH156" t="s">
        <v>582</v>
      </c>
      <c r="AI156">
        <v>2</v>
      </c>
      <c r="AJ156">
        <v>32</v>
      </c>
      <c r="AK156">
        <v>7</v>
      </c>
      <c r="AL156">
        <v>5</v>
      </c>
      <c r="AM156">
        <v>95</v>
      </c>
      <c r="AN156">
        <v>310</v>
      </c>
      <c r="AO156">
        <v>32</v>
      </c>
      <c r="AQ156" s="27">
        <f t="shared" si="48"/>
        <v>481.8</v>
      </c>
    </row>
    <row r="157" spans="1:43" ht="25.5">
      <c r="A157" t="s">
        <v>2186</v>
      </c>
      <c r="B157" s="7" t="s">
        <v>2187</v>
      </c>
      <c r="C157" t="s">
        <v>2196</v>
      </c>
      <c r="D157" s="19">
        <v>100</v>
      </c>
      <c r="E157" s="12" t="s">
        <v>2238</v>
      </c>
      <c r="F157" s="19"/>
      <c r="G157" s="4">
        <f>IF(F157&gt;0,F157,IF(PrefetchDBSummary!$C$10="B",AJ157,8))</f>
        <v>8</v>
      </c>
      <c r="H157" s="4">
        <f>PrefetchDBSummary!$C$60</f>
        <v>1</v>
      </c>
      <c r="I157" s="4">
        <f>PrefetchDBSummary!$D$31</f>
        <v>0</v>
      </c>
      <c r="J157" s="5">
        <f t="shared" si="42"/>
        <v>274.775</v>
      </c>
      <c r="K157" s="4">
        <f t="shared" si="43"/>
        <v>50</v>
      </c>
      <c r="L157" s="4">
        <f t="shared" si="44"/>
        <v>50</v>
      </c>
      <c r="M157" s="5">
        <f t="shared" si="45"/>
        <v>14.345703125</v>
      </c>
      <c r="N157" s="17">
        <f t="shared" si="46"/>
        <v>576000</v>
      </c>
      <c r="O157" s="32">
        <f t="shared" si="47"/>
        <v>42.73681640624999</v>
      </c>
      <c r="AG157" t="s">
        <v>2216</v>
      </c>
      <c r="AH157" t="s">
        <v>583</v>
      </c>
      <c r="AI157">
        <v>2</v>
      </c>
      <c r="AJ157">
        <v>32</v>
      </c>
      <c r="AK157">
        <v>17</v>
      </c>
      <c r="AL157">
        <v>5</v>
      </c>
      <c r="AM157">
        <v>565</v>
      </c>
      <c r="AN157">
        <v>780</v>
      </c>
      <c r="AO157">
        <v>440</v>
      </c>
      <c r="AQ157" s="27">
        <f t="shared" si="48"/>
        <v>32973</v>
      </c>
    </row>
    <row r="158" spans="1:43" ht="12.75">
      <c r="A158" t="s">
        <v>2186</v>
      </c>
      <c r="B158" s="7" t="s">
        <v>2187</v>
      </c>
      <c r="C158" t="s">
        <v>2197</v>
      </c>
      <c r="D158" s="19">
        <v>300</v>
      </c>
      <c r="E158" s="12" t="s">
        <v>2239</v>
      </c>
      <c r="F158" s="19"/>
      <c r="G158" s="4">
        <f>IF(F158&gt;0,F158,IF(PrefetchDBSummary!$C$10="B",AJ158,8))</f>
        <v>8</v>
      </c>
      <c r="H158" s="4">
        <f>PrefetchDBSummary!$C$60</f>
        <v>1</v>
      </c>
      <c r="I158" s="4">
        <f>PrefetchDBSummary!$D$31</f>
        <v>0</v>
      </c>
      <c r="J158" s="5">
        <f t="shared" si="42"/>
        <v>2363.358333333333</v>
      </c>
      <c r="K158" s="4">
        <f t="shared" si="43"/>
        <v>150</v>
      </c>
      <c r="L158" s="4">
        <f t="shared" si="44"/>
        <v>150</v>
      </c>
      <c r="M158" s="5">
        <f t="shared" si="45"/>
        <v>155.619140625</v>
      </c>
      <c r="N158" s="17">
        <f t="shared" si="46"/>
        <v>1728000</v>
      </c>
      <c r="O158" s="32">
        <f t="shared" si="47"/>
        <v>426.55517578124983</v>
      </c>
      <c r="AG158" t="s">
        <v>2217</v>
      </c>
      <c r="AH158" t="s">
        <v>583</v>
      </c>
      <c r="AI158">
        <v>2</v>
      </c>
      <c r="AJ158">
        <v>32</v>
      </c>
      <c r="AK158">
        <v>27</v>
      </c>
      <c r="AL158">
        <v>10</v>
      </c>
      <c r="AM158">
        <v>2043</v>
      </c>
      <c r="AN158">
        <v>2473</v>
      </c>
      <c r="AO158">
        <v>1872</v>
      </c>
      <c r="AQ158" s="27">
        <f t="shared" si="48"/>
        <v>283603</v>
      </c>
    </row>
    <row r="159" spans="1:43" ht="12.75">
      <c r="A159" t="s">
        <v>2186</v>
      </c>
      <c r="B159" s="7" t="s">
        <v>2187</v>
      </c>
      <c r="C159" t="s">
        <v>2198</v>
      </c>
      <c r="D159" s="19">
        <v>1</v>
      </c>
      <c r="E159" s="12" t="s">
        <v>710</v>
      </c>
      <c r="F159" s="19"/>
      <c r="G159" s="4">
        <f>IF(F159&gt;0,F159,IF(PrefetchDBSummary!$C$10="B",AJ159,8))</f>
        <v>8</v>
      </c>
      <c r="H159" s="4">
        <f>PrefetchDBSummary!$C$60</f>
        <v>1</v>
      </c>
      <c r="I159" s="4">
        <f>PrefetchDBSummary!$D$31</f>
        <v>0</v>
      </c>
      <c r="J159" s="5">
        <f t="shared" si="42"/>
        <v>7.661666666666667</v>
      </c>
      <c r="K159" s="4">
        <f t="shared" si="43"/>
        <v>0.5</v>
      </c>
      <c r="L159" s="4">
        <f t="shared" si="44"/>
        <v>0.5</v>
      </c>
      <c r="M159" s="5">
        <f t="shared" si="45"/>
        <v>0.27193359375000004</v>
      </c>
      <c r="N159" s="17">
        <f t="shared" si="46"/>
        <v>5760</v>
      </c>
      <c r="O159" s="32">
        <f t="shared" si="47"/>
        <v>0.7125732421874997</v>
      </c>
      <c r="AG159" t="s">
        <v>2218</v>
      </c>
      <c r="AH159" t="s">
        <v>582</v>
      </c>
      <c r="AI159">
        <v>2</v>
      </c>
      <c r="AJ159">
        <v>32</v>
      </c>
      <c r="AK159">
        <v>11</v>
      </c>
      <c r="AL159">
        <v>0</v>
      </c>
      <c r="AM159">
        <v>1071</v>
      </c>
      <c r="AN159">
        <v>1071</v>
      </c>
      <c r="AO159">
        <v>1056</v>
      </c>
      <c r="AQ159" s="27">
        <f t="shared" si="48"/>
        <v>919.4000000000001</v>
      </c>
    </row>
    <row r="160" spans="1:43" ht="12.75">
      <c r="A160" t="s">
        <v>2186</v>
      </c>
      <c r="B160" s="7" t="s">
        <v>2187</v>
      </c>
      <c r="C160" t="s">
        <v>2199</v>
      </c>
      <c r="D160" s="19">
        <v>20</v>
      </c>
      <c r="E160" s="12" t="s">
        <v>2240</v>
      </c>
      <c r="F160" s="19"/>
      <c r="G160" s="4">
        <f>IF(F160&gt;0,F160,IF(PrefetchDBSummary!$C$10="B",AJ160,8))</f>
        <v>8</v>
      </c>
      <c r="H160" s="4">
        <f>PrefetchDBSummary!$C$60</f>
        <v>1</v>
      </c>
      <c r="I160" s="4">
        <f>PrefetchDBSummary!$D$31</f>
        <v>0</v>
      </c>
      <c r="J160" s="5">
        <f t="shared" si="42"/>
        <v>29.733333333333334</v>
      </c>
      <c r="K160" s="4">
        <f t="shared" si="43"/>
        <v>10</v>
      </c>
      <c r="L160" s="4">
        <f t="shared" si="44"/>
        <v>10</v>
      </c>
      <c r="M160" s="5">
        <f t="shared" si="45"/>
        <v>1.57421875</v>
      </c>
      <c r="N160" s="17">
        <f t="shared" si="46"/>
        <v>115200</v>
      </c>
      <c r="O160" s="32">
        <f t="shared" si="47"/>
        <v>4.280273437499999</v>
      </c>
      <c r="AG160" t="s">
        <v>2219</v>
      </c>
      <c r="AH160" t="s">
        <v>583</v>
      </c>
      <c r="AI160">
        <v>2</v>
      </c>
      <c r="AJ160">
        <v>8</v>
      </c>
      <c r="AK160">
        <v>6</v>
      </c>
      <c r="AL160">
        <v>1</v>
      </c>
      <c r="AM160">
        <v>310</v>
      </c>
      <c r="AN160">
        <v>353</v>
      </c>
      <c r="AO160">
        <v>288</v>
      </c>
      <c r="AQ160" s="27">
        <f t="shared" si="48"/>
        <v>3568</v>
      </c>
    </row>
    <row r="161" spans="1:43" ht="25.5">
      <c r="A161" t="s">
        <v>2188</v>
      </c>
      <c r="B161" s="7" t="s">
        <v>2229</v>
      </c>
      <c r="C161" t="s">
        <v>2200</v>
      </c>
      <c r="D161" s="93">
        <f>PrefetchDBSummary!$E$61</f>
        <v>200</v>
      </c>
      <c r="E161" s="12" t="s">
        <v>2246</v>
      </c>
      <c r="F161" s="19"/>
      <c r="G161" s="4">
        <f>IF(F161&gt;0,F161,IF(PrefetchDBSummary!$C$10="B",AJ161,8))</f>
        <v>8</v>
      </c>
      <c r="H161" s="4">
        <f>PrefetchDBSummary!$C$61</f>
        <v>1</v>
      </c>
      <c r="I161" s="4">
        <f>PrefetchDBSummary!$D$31</f>
        <v>0</v>
      </c>
      <c r="J161" s="5">
        <f t="shared" si="42"/>
        <v>241.11666666666667</v>
      </c>
      <c r="K161" s="4">
        <f t="shared" si="43"/>
        <v>200</v>
      </c>
      <c r="L161" s="4">
        <f t="shared" si="44"/>
        <v>200</v>
      </c>
      <c r="M161" s="5">
        <f t="shared" si="45"/>
        <v>6.8046875</v>
      </c>
      <c r="N161" s="17">
        <f t="shared" si="46"/>
        <v>2304000</v>
      </c>
      <c r="O161" s="32">
        <f t="shared" si="47"/>
        <v>23.818359374999996</v>
      </c>
      <c r="AG161" t="s">
        <v>2220</v>
      </c>
      <c r="AH161" t="s">
        <v>583</v>
      </c>
      <c r="AI161">
        <v>1</v>
      </c>
      <c r="AJ161">
        <v>8</v>
      </c>
      <c r="AK161">
        <v>3</v>
      </c>
      <c r="AL161">
        <v>2</v>
      </c>
      <c r="AM161">
        <v>67</v>
      </c>
      <c r="AN161">
        <v>169</v>
      </c>
      <c r="AO161">
        <v>32</v>
      </c>
      <c r="AQ161" s="27">
        <f t="shared" si="48"/>
        <v>14467</v>
      </c>
    </row>
    <row r="162" spans="1:43" ht="12.75">
      <c r="A162" t="s">
        <v>2188</v>
      </c>
      <c r="B162" s="7" t="s">
        <v>2229</v>
      </c>
      <c r="C162" t="s">
        <v>2201</v>
      </c>
      <c r="D162" s="19">
        <v>2</v>
      </c>
      <c r="E162" s="12" t="s">
        <v>2241</v>
      </c>
      <c r="F162" s="19"/>
      <c r="G162" s="4">
        <f>IF(F162&gt;0,F162,IF(PrefetchDBSummary!$C$10="B",AJ162,8))</f>
        <v>8</v>
      </c>
      <c r="H162" s="4">
        <f>PrefetchDBSummary!$C$61</f>
        <v>1</v>
      </c>
      <c r="I162" s="4">
        <f>PrefetchDBSummary!$D$31</f>
        <v>0</v>
      </c>
      <c r="J162" s="5">
        <f t="shared" si="42"/>
        <v>18.39333333333333</v>
      </c>
      <c r="K162" s="4">
        <f t="shared" si="43"/>
        <v>2</v>
      </c>
      <c r="L162" s="4">
        <f t="shared" si="44"/>
        <v>2</v>
      </c>
      <c r="M162" s="5">
        <f t="shared" si="45"/>
        <v>0.85921875</v>
      </c>
      <c r="N162" s="17">
        <f t="shared" si="46"/>
        <v>23040</v>
      </c>
      <c r="O162" s="32">
        <f t="shared" si="47"/>
        <v>2.2552734374999996</v>
      </c>
      <c r="AG162" t="s">
        <v>2221</v>
      </c>
      <c r="AH162" t="s">
        <v>583</v>
      </c>
      <c r="AI162">
        <v>1</v>
      </c>
      <c r="AJ162">
        <v>8</v>
      </c>
      <c r="AK162">
        <v>6</v>
      </c>
      <c r="AL162">
        <v>0</v>
      </c>
      <c r="AM162">
        <v>846</v>
      </c>
      <c r="AN162">
        <v>846</v>
      </c>
      <c r="AO162">
        <v>832</v>
      </c>
      <c r="AQ162" s="27">
        <f t="shared" si="48"/>
        <v>1103.6</v>
      </c>
    </row>
    <row r="163" spans="1:43" ht="12.75">
      <c r="A163" t="s">
        <v>2188</v>
      </c>
      <c r="B163" s="7" t="s">
        <v>2229</v>
      </c>
      <c r="C163" t="s">
        <v>2202</v>
      </c>
      <c r="D163" s="93">
        <f>PrefetchDBSummary!$E$61*32</f>
        <v>6400</v>
      </c>
      <c r="E163" s="12" t="s">
        <v>2247</v>
      </c>
      <c r="F163" s="19"/>
      <c r="G163" s="4">
        <f>IF(F163&gt;0,F163,IF(PrefetchDBSummary!$C$10="B",AJ163,8))</f>
        <v>8</v>
      </c>
      <c r="H163" s="4">
        <f>PrefetchDBSummary!$C$61</f>
        <v>1</v>
      </c>
      <c r="I163" s="4">
        <f>PrefetchDBSummary!$D$31</f>
        <v>0</v>
      </c>
      <c r="J163" s="5">
        <f t="shared" si="42"/>
        <v>56732.033333333326</v>
      </c>
      <c r="K163" s="4">
        <f t="shared" si="43"/>
        <v>6400</v>
      </c>
      <c r="L163" s="4">
        <f t="shared" si="44"/>
        <v>6400</v>
      </c>
      <c r="M163" s="5">
        <f t="shared" si="45"/>
        <v>4056</v>
      </c>
      <c r="N163" s="17">
        <f t="shared" si="46"/>
        <v>73728000</v>
      </c>
      <c r="O163" s="32">
        <f t="shared" si="47"/>
        <v>10619.999999999998</v>
      </c>
      <c r="AG163" t="s">
        <v>2222</v>
      </c>
      <c r="AH163" t="s">
        <v>583</v>
      </c>
      <c r="AI163">
        <v>1</v>
      </c>
      <c r="AJ163">
        <v>8</v>
      </c>
      <c r="AK163">
        <v>8</v>
      </c>
      <c r="AL163">
        <v>1</v>
      </c>
      <c r="AM163">
        <v>1248</v>
      </c>
      <c r="AN163">
        <v>1291</v>
      </c>
      <c r="AO163">
        <v>1232</v>
      </c>
      <c r="AQ163" s="27">
        <f t="shared" si="48"/>
        <v>3403921.9999999995</v>
      </c>
    </row>
    <row r="164" spans="1:43" ht="12.75">
      <c r="A164" t="s">
        <v>2188</v>
      </c>
      <c r="B164" s="7" t="s">
        <v>2229</v>
      </c>
      <c r="C164" t="s">
        <v>2203</v>
      </c>
      <c r="D164" s="19">
        <v>350</v>
      </c>
      <c r="E164" s="12" t="s">
        <v>2242</v>
      </c>
      <c r="F164" s="19"/>
      <c r="G164" s="4">
        <f>IF(F164&gt;0,F164,IF(PrefetchDBSummary!$C$10="B",AJ164,8))</f>
        <v>8</v>
      </c>
      <c r="H164" s="4">
        <f>PrefetchDBSummary!$C$61</f>
        <v>1</v>
      </c>
      <c r="I164" s="4">
        <f>PrefetchDBSummary!$D$31</f>
        <v>0</v>
      </c>
      <c r="J164" s="5">
        <f t="shared" si="42"/>
        <v>623.2333333333333</v>
      </c>
      <c r="K164" s="4">
        <f t="shared" si="43"/>
        <v>350</v>
      </c>
      <c r="L164" s="4">
        <f t="shared" si="44"/>
        <v>350</v>
      </c>
      <c r="M164" s="5">
        <f t="shared" si="45"/>
        <v>18.12890625</v>
      </c>
      <c r="N164" s="17">
        <f t="shared" si="46"/>
        <v>4032000</v>
      </c>
      <c r="O164" s="32">
        <f t="shared" si="47"/>
        <v>68.59863281249999</v>
      </c>
      <c r="AG164" t="s">
        <v>2223</v>
      </c>
      <c r="AH164" t="s">
        <v>583</v>
      </c>
      <c r="AI164">
        <v>1</v>
      </c>
      <c r="AJ164">
        <v>8</v>
      </c>
      <c r="AK164">
        <v>6</v>
      </c>
      <c r="AL164">
        <v>4</v>
      </c>
      <c r="AM164">
        <v>102</v>
      </c>
      <c r="AN164">
        <v>290</v>
      </c>
      <c r="AO164">
        <v>32</v>
      </c>
      <c r="AQ164" s="27">
        <f t="shared" si="48"/>
        <v>37394</v>
      </c>
    </row>
    <row r="165" spans="1:43" ht="12.75">
      <c r="A165" t="s">
        <v>2188</v>
      </c>
      <c r="B165" s="7" t="s">
        <v>2229</v>
      </c>
      <c r="C165" t="s">
        <v>2204</v>
      </c>
      <c r="D165" s="19">
        <v>1</v>
      </c>
      <c r="E165" s="12" t="s">
        <v>721</v>
      </c>
      <c r="F165" s="19"/>
      <c r="G165" s="4">
        <f>IF(F165&gt;0,F165,IF(PrefetchDBSummary!$C$10="B",AJ165,8))</f>
        <v>8</v>
      </c>
      <c r="H165" s="4">
        <f>PrefetchDBSummary!$C$61</f>
        <v>1</v>
      </c>
      <c r="I165" s="4">
        <f>PrefetchDBSummary!$D$31</f>
        <v>0</v>
      </c>
      <c r="J165" s="5">
        <f t="shared" si="42"/>
        <v>19.49666666666667</v>
      </c>
      <c r="K165" s="4">
        <f t="shared" si="43"/>
        <v>1</v>
      </c>
      <c r="L165" s="4">
        <f t="shared" si="44"/>
        <v>1</v>
      </c>
      <c r="M165" s="5">
        <f t="shared" si="45"/>
        <v>0.8465234375</v>
      </c>
      <c r="N165" s="17">
        <f t="shared" si="46"/>
        <v>11520</v>
      </c>
      <c r="O165" s="32">
        <f t="shared" si="47"/>
        <v>2.2284667968749994</v>
      </c>
      <c r="AG165" t="s">
        <v>2224</v>
      </c>
      <c r="AH165" t="s">
        <v>583</v>
      </c>
      <c r="AI165">
        <v>1</v>
      </c>
      <c r="AJ165">
        <v>8</v>
      </c>
      <c r="AK165">
        <v>11</v>
      </c>
      <c r="AL165">
        <v>2</v>
      </c>
      <c r="AM165">
        <v>1667</v>
      </c>
      <c r="AN165">
        <v>1761</v>
      </c>
      <c r="AO165">
        <v>1632</v>
      </c>
      <c r="AQ165" s="27">
        <f t="shared" si="48"/>
        <v>1169.8000000000002</v>
      </c>
    </row>
    <row r="166" spans="1:43" ht="12.75">
      <c r="A166" t="s">
        <v>2188</v>
      </c>
      <c r="B166" s="7" t="s">
        <v>2229</v>
      </c>
      <c r="C166" t="s">
        <v>2205</v>
      </c>
      <c r="D166" s="19">
        <v>1</v>
      </c>
      <c r="E166" s="12" t="s">
        <v>721</v>
      </c>
      <c r="F166" s="19"/>
      <c r="G166" s="4">
        <f>IF(F166&gt;0,F166,IF(PrefetchDBSummary!$C$10="B",AJ166,8))</f>
        <v>8</v>
      </c>
      <c r="H166" s="4">
        <f>PrefetchDBSummary!$C$61</f>
        <v>1</v>
      </c>
      <c r="I166" s="4">
        <f>PrefetchDBSummary!$D$31</f>
        <v>0</v>
      </c>
      <c r="J166" s="5">
        <f t="shared" si="42"/>
        <v>7.23</v>
      </c>
      <c r="K166" s="4">
        <f t="shared" si="43"/>
        <v>1</v>
      </c>
      <c r="L166" s="4">
        <f t="shared" si="44"/>
        <v>1</v>
      </c>
      <c r="M166" s="5">
        <f t="shared" si="45"/>
        <v>0.0431640625</v>
      </c>
      <c r="N166" s="17">
        <f t="shared" si="46"/>
        <v>11520</v>
      </c>
      <c r="O166" s="32">
        <f t="shared" si="47"/>
        <v>0.15864257812499996</v>
      </c>
      <c r="AG166" t="s">
        <v>2225</v>
      </c>
      <c r="AH166" t="s">
        <v>583</v>
      </c>
      <c r="AI166">
        <v>1</v>
      </c>
      <c r="AJ166">
        <v>8</v>
      </c>
      <c r="AK166">
        <v>5</v>
      </c>
      <c r="AL166">
        <v>4</v>
      </c>
      <c r="AM166">
        <v>85</v>
      </c>
      <c r="AN166">
        <v>273</v>
      </c>
      <c r="AO166">
        <v>32</v>
      </c>
      <c r="AQ166" s="27">
        <f t="shared" si="48"/>
        <v>433.8</v>
      </c>
    </row>
    <row r="167" spans="1:43" ht="12.75">
      <c r="A167" t="s">
        <v>2188</v>
      </c>
      <c r="B167" s="7" t="s">
        <v>2229</v>
      </c>
      <c r="C167" t="s">
        <v>2206</v>
      </c>
      <c r="D167" s="19">
        <v>1</v>
      </c>
      <c r="E167" s="12" t="s">
        <v>721</v>
      </c>
      <c r="F167" s="19"/>
      <c r="G167" s="4">
        <f>IF(F167&gt;0,F167,IF(PrefetchDBSummary!$C$10="B",AJ167,8))</f>
        <v>8</v>
      </c>
      <c r="H167" s="4">
        <f>PrefetchDBSummary!$C$61</f>
        <v>1</v>
      </c>
      <c r="I167" s="4">
        <f>PrefetchDBSummary!$D$31</f>
        <v>0</v>
      </c>
      <c r="J167" s="5">
        <f t="shared" si="42"/>
        <v>16.763333333333335</v>
      </c>
      <c r="K167" s="4">
        <f t="shared" si="43"/>
        <v>1</v>
      </c>
      <c r="L167" s="4">
        <f t="shared" si="44"/>
        <v>1</v>
      </c>
      <c r="M167" s="5">
        <f t="shared" si="45"/>
        <v>0.7312500000000001</v>
      </c>
      <c r="N167" s="17">
        <f t="shared" si="46"/>
        <v>11520</v>
      </c>
      <c r="O167" s="32">
        <f t="shared" si="47"/>
        <v>1.9054687499999996</v>
      </c>
      <c r="AG167" t="s">
        <v>2226</v>
      </c>
      <c r="AH167" t="s">
        <v>583</v>
      </c>
      <c r="AI167">
        <v>1</v>
      </c>
      <c r="AJ167">
        <v>8</v>
      </c>
      <c r="AK167">
        <v>8</v>
      </c>
      <c r="AL167">
        <v>0</v>
      </c>
      <c r="AM167">
        <v>1440</v>
      </c>
      <c r="AN167">
        <v>1440</v>
      </c>
      <c r="AO167">
        <v>1432</v>
      </c>
      <c r="AQ167" s="27">
        <f t="shared" si="48"/>
        <v>1005.8000000000001</v>
      </c>
    </row>
    <row r="168" spans="1:43" ht="12.75">
      <c r="A168" t="s">
        <v>2188</v>
      </c>
      <c r="B168" s="7" t="s">
        <v>2229</v>
      </c>
      <c r="C168" t="s">
        <v>2207</v>
      </c>
      <c r="D168" s="19">
        <v>10</v>
      </c>
      <c r="E168" s="12" t="s">
        <v>2243</v>
      </c>
      <c r="F168" s="19"/>
      <c r="G168" s="4">
        <f>IF(F168&gt;0,F168,IF(PrefetchDBSummary!$C$10="B",AJ168,8))</f>
        <v>8</v>
      </c>
      <c r="H168" s="4">
        <f>PrefetchDBSummary!$C$61</f>
        <v>1</v>
      </c>
      <c r="I168" s="4">
        <f>PrefetchDBSummary!$D$31</f>
        <v>0</v>
      </c>
      <c r="J168" s="5">
        <f t="shared" si="42"/>
        <v>79.7</v>
      </c>
      <c r="K168" s="4">
        <f t="shared" si="43"/>
        <v>10</v>
      </c>
      <c r="L168" s="4">
        <f t="shared" si="44"/>
        <v>10</v>
      </c>
      <c r="M168" s="5">
        <f t="shared" si="45"/>
        <v>5.27109375</v>
      </c>
      <c r="N168" s="17">
        <f t="shared" si="46"/>
        <v>115200</v>
      </c>
      <c r="O168" s="32">
        <f t="shared" si="47"/>
        <v>13.737304687499996</v>
      </c>
      <c r="AG168" t="s">
        <v>2227</v>
      </c>
      <c r="AH168" t="s">
        <v>583</v>
      </c>
      <c r="AI168">
        <v>1</v>
      </c>
      <c r="AJ168">
        <v>8</v>
      </c>
      <c r="AK168">
        <v>6</v>
      </c>
      <c r="AL168">
        <v>0</v>
      </c>
      <c r="AM168">
        <v>1038</v>
      </c>
      <c r="AN168">
        <v>1038</v>
      </c>
      <c r="AO168">
        <v>1032</v>
      </c>
      <c r="AQ168" s="27">
        <f t="shared" si="48"/>
        <v>4782</v>
      </c>
    </row>
    <row r="169" spans="1:43" ht="12.75">
      <c r="A169" t="s">
        <v>2188</v>
      </c>
      <c r="B169" s="7" t="s">
        <v>2229</v>
      </c>
      <c r="C169" t="s">
        <v>2208</v>
      </c>
      <c r="D169" s="19">
        <v>10</v>
      </c>
      <c r="E169" s="12" t="s">
        <v>2244</v>
      </c>
      <c r="F169" s="19"/>
      <c r="G169" s="4">
        <f>IF(F169&gt;0,F169,IF(PrefetchDBSummary!$C$10="B",AJ169,8))</f>
        <v>8</v>
      </c>
      <c r="H169" s="4">
        <f>PrefetchDBSummary!$C$61</f>
        <v>1</v>
      </c>
      <c r="I169" s="4">
        <f>PrefetchDBSummary!$D$31</f>
        <v>0</v>
      </c>
      <c r="J169" s="5">
        <f t="shared" si="42"/>
        <v>61.516666666666666</v>
      </c>
      <c r="K169" s="4">
        <f t="shared" si="43"/>
        <v>10</v>
      </c>
      <c r="L169" s="4">
        <f t="shared" si="44"/>
        <v>10</v>
      </c>
      <c r="M169" s="5">
        <f t="shared" si="45"/>
        <v>3.488671875</v>
      </c>
      <c r="N169" s="17">
        <f t="shared" si="46"/>
        <v>115200</v>
      </c>
      <c r="O169" s="32">
        <f t="shared" si="47"/>
        <v>9.540527343749998</v>
      </c>
      <c r="AG169" t="s">
        <v>2228</v>
      </c>
      <c r="AH169" t="s">
        <v>583</v>
      </c>
      <c r="AI169">
        <v>1</v>
      </c>
      <c r="AJ169">
        <v>8</v>
      </c>
      <c r="AK169">
        <v>7</v>
      </c>
      <c r="AL169">
        <v>3</v>
      </c>
      <c r="AM169">
        <v>687</v>
      </c>
      <c r="AN169">
        <v>840</v>
      </c>
      <c r="AO169">
        <v>632</v>
      </c>
      <c r="AQ169" s="27">
        <f t="shared" si="48"/>
        <v>3691</v>
      </c>
    </row>
    <row r="170" spans="1:43" ht="12.75">
      <c r="A170" s="18" t="s">
        <v>2110</v>
      </c>
      <c r="B170" s="7" t="s">
        <v>2152</v>
      </c>
      <c r="C170" t="s">
        <v>2111</v>
      </c>
      <c r="D170" s="19"/>
      <c r="E170" s="7" t="s">
        <v>2119</v>
      </c>
      <c r="F170" s="19"/>
      <c r="G170" s="4">
        <f>IF(F170&gt;0,F170,IF(PrefetchDBSummary!$C$10="B",AJ170,8))</f>
        <v>8</v>
      </c>
      <c r="H170" s="4">
        <f>PrefetchDBSummary!$C$43</f>
        <v>0</v>
      </c>
      <c r="I170" s="4">
        <f>PrefetchDBSummary!$D$44</f>
        <v>0</v>
      </c>
      <c r="J170" s="5">
        <f>IF(H170&gt;0,(AQ170)/(AI170*60),IF(I170&gt;0,(AQ170)/(5*60),0))</f>
        <v>0</v>
      </c>
      <c r="K170" s="4">
        <f>IF(H170&gt;0,D170/AI170,IF(I170&gt;0,D170/5,0))</f>
        <v>0</v>
      </c>
      <c r="L170" s="4">
        <f>H170*D170/AI170+I170*D170/5</f>
        <v>0</v>
      </c>
      <c r="M170" s="5">
        <f>L170*AM170*(1-IF(AP170&gt;0,AP170,$AS$2)*$AS$3)/1024</f>
        <v>0</v>
      </c>
      <c r="N170" s="17">
        <f>L170*60*24*IF(G170&gt;0,G170,(G170))</f>
        <v>0</v>
      </c>
      <c r="O170" s="32">
        <f>N170*($AM170-$AO170*IF($AP170&gt;0,1-$AP170,1-$AS$2))*(1-$AS$3)/1024/1024</f>
        <v>0</v>
      </c>
      <c r="AG170" t="s">
        <v>2115</v>
      </c>
      <c r="AH170" t="s">
        <v>583</v>
      </c>
      <c r="AI170">
        <v>1</v>
      </c>
      <c r="AJ170">
        <v>32</v>
      </c>
      <c r="AK170">
        <v>14</v>
      </c>
      <c r="AL170">
        <v>5</v>
      </c>
      <c r="AM170">
        <v>378</v>
      </c>
      <c r="AN170">
        <v>513</v>
      </c>
      <c r="AO170">
        <v>284</v>
      </c>
      <c r="AQ170" s="27">
        <f>250+19*AK170+D170*(23+(AM170-AO170)+AO170*(1-IF(AP170&gt;0,AP170,$AS$2)))</f>
        <v>516</v>
      </c>
    </row>
    <row r="171" spans="1:43" ht="12.75">
      <c r="A171" s="18" t="s">
        <v>2110</v>
      </c>
      <c r="B171" s="7" t="s">
        <v>2152</v>
      </c>
      <c r="C171" t="s">
        <v>2112</v>
      </c>
      <c r="D171" s="19">
        <v>1</v>
      </c>
      <c r="E171" s="7" t="s">
        <v>710</v>
      </c>
      <c r="F171" s="19"/>
      <c r="G171" s="4">
        <f>IF(F171&gt;0,F171,IF(PrefetchDBSummary!$C$10="B",AJ171,8))</f>
        <v>8</v>
      </c>
      <c r="H171" s="4">
        <f>PrefetchDBSummary!$C$43</f>
        <v>0</v>
      </c>
      <c r="I171" s="4">
        <f>PrefetchDBSummary!$D$44</f>
        <v>0</v>
      </c>
      <c r="J171" s="5">
        <f>IF(H171&gt;0,(AQ171)/(AI171*60),IF(I171&gt;0,(AQ171)/(5*60),0))</f>
        <v>0</v>
      </c>
      <c r="K171" s="4">
        <f>IF(H171&gt;0,D171/AI171,IF(I171&gt;0,D171/5,0))</f>
        <v>0</v>
      </c>
      <c r="L171" s="4">
        <f>H171*D171/AI171+I171*D171/5</f>
        <v>0</v>
      </c>
      <c r="M171" s="5">
        <f>L171*AM171*(1-IF(AP171&gt;0,AP171,$AS$2)*$AS$3)/1024</f>
        <v>0</v>
      </c>
      <c r="N171" s="17">
        <f>L171*60*24*IF(G171&gt;0,G171,(G171))</f>
        <v>0</v>
      </c>
      <c r="O171" s="32">
        <f>N171*($AM171-$AO171*IF($AP171&gt;0,1-$AP171,1-$AS$2))*(1-$AS$3)/1024/1024</f>
        <v>0</v>
      </c>
      <c r="AG171" t="s">
        <v>2116</v>
      </c>
      <c r="AH171" t="s">
        <v>582</v>
      </c>
      <c r="AI171">
        <v>1</v>
      </c>
      <c r="AJ171">
        <v>32</v>
      </c>
      <c r="AK171">
        <v>15</v>
      </c>
      <c r="AL171">
        <v>10</v>
      </c>
      <c r="AM171">
        <v>123</v>
      </c>
      <c r="AN171">
        <v>429</v>
      </c>
      <c r="AO171">
        <v>32</v>
      </c>
      <c r="AQ171" s="27">
        <f>250+19*AK171+D171*(23+(AM171-AO171)+AO171*(1-IF(AP171&gt;0,AP171,$AS$2)))</f>
        <v>661.8</v>
      </c>
    </row>
    <row r="172" spans="1:43" ht="12.75">
      <c r="A172" s="18" t="s">
        <v>2110</v>
      </c>
      <c r="B172" s="7" t="s">
        <v>2152</v>
      </c>
      <c r="C172" t="s">
        <v>2113</v>
      </c>
      <c r="D172" s="19">
        <v>1</v>
      </c>
      <c r="E172" s="7" t="s">
        <v>710</v>
      </c>
      <c r="F172" s="19"/>
      <c r="G172" s="4">
        <f>IF(F172&gt;0,F172,IF(PrefetchDBSummary!$C$10="B",AJ172,8))</f>
        <v>8</v>
      </c>
      <c r="H172" s="4">
        <f>PrefetchDBSummary!$C$43</f>
        <v>0</v>
      </c>
      <c r="I172" s="4">
        <f>PrefetchDBSummary!$D$44</f>
        <v>0</v>
      </c>
      <c r="J172" s="5">
        <f>IF(H172&gt;0,(AQ172)/(AI172*60),IF(I172&gt;0,(AQ172)/(5*60),0))</f>
        <v>0</v>
      </c>
      <c r="K172" s="4">
        <f>IF(H172&gt;0,D172/AI172,IF(I172&gt;0,D172/5,0))</f>
        <v>0</v>
      </c>
      <c r="L172" s="4">
        <f>H172*D172/AI172+I172*D172/5</f>
        <v>0</v>
      </c>
      <c r="M172" s="5">
        <f>L172*AM172*(1-IF(AP172&gt;0,AP172,$AS$2)*$AS$3)/1024</f>
        <v>0</v>
      </c>
      <c r="N172" s="17">
        <f>L172*60*24*IF(G172&gt;0,G172,(G172))</f>
        <v>0</v>
      </c>
      <c r="O172" s="32">
        <f>N172*($AM172-$AO172*IF($AP172&gt;0,1-$AP172,1-$AS$2))*(1-$AS$3)/1024/1024</f>
        <v>0</v>
      </c>
      <c r="AG172" t="s">
        <v>2117</v>
      </c>
      <c r="AH172" t="s">
        <v>582</v>
      </c>
      <c r="AI172">
        <v>1</v>
      </c>
      <c r="AJ172">
        <v>32</v>
      </c>
      <c r="AK172">
        <v>12</v>
      </c>
      <c r="AL172">
        <v>3</v>
      </c>
      <c r="AM172">
        <v>120</v>
      </c>
      <c r="AN172">
        <v>261</v>
      </c>
      <c r="AO172">
        <v>32</v>
      </c>
      <c r="AQ172" s="27">
        <f>250+19*AK172+D172*(23+(AM172-AO172)+AO172*(1-IF(AP172&gt;0,AP172,$AS$2)))</f>
        <v>601.8</v>
      </c>
    </row>
    <row r="173" spans="1:43" ht="12.75">
      <c r="A173" s="18" t="s">
        <v>2110</v>
      </c>
      <c r="B173" s="7" t="s">
        <v>2152</v>
      </c>
      <c r="C173" t="s">
        <v>2114</v>
      </c>
      <c r="D173" s="19">
        <v>1</v>
      </c>
      <c r="E173" s="7" t="s">
        <v>710</v>
      </c>
      <c r="F173" s="19"/>
      <c r="G173" s="4">
        <f>IF(F173&gt;0,F173,IF(PrefetchDBSummary!$C$10="B",AJ173,8))</f>
        <v>8</v>
      </c>
      <c r="H173" s="4">
        <f>PrefetchDBSummary!$C$43</f>
        <v>0</v>
      </c>
      <c r="I173" s="4">
        <f>PrefetchDBSummary!$D$44</f>
        <v>0</v>
      </c>
      <c r="J173" s="5">
        <f>IF(H173&gt;0,(AQ173)/(AI173*60),IF(I173&gt;0,(AQ173)/(5*60),0))</f>
        <v>0</v>
      </c>
      <c r="K173" s="4">
        <f>IF(H173&gt;0,D173/AI173,IF(I173&gt;0,D173/5,0))</f>
        <v>0</v>
      </c>
      <c r="L173" s="4">
        <f>H173*D173/AI173+I173*D173/5</f>
        <v>0</v>
      </c>
      <c r="M173" s="5">
        <f>L173*AM173*(1-IF(AP173&gt;0,AP173,$AS$2)*$AS$3)/1024</f>
        <v>0</v>
      </c>
      <c r="N173" s="17">
        <f>L173*60*24*IF(G173&gt;0,G173,(G173))</f>
        <v>0</v>
      </c>
      <c r="O173" s="32">
        <f>N173*($AM173-$AO173*IF($AP173&gt;0,1-$AP173,1-$AS$2))*(1-$AS$3)/1024/1024</f>
        <v>0</v>
      </c>
      <c r="AG173" t="s">
        <v>2118</v>
      </c>
      <c r="AH173" t="s">
        <v>583</v>
      </c>
      <c r="AI173">
        <v>1</v>
      </c>
      <c r="AJ173">
        <v>32</v>
      </c>
      <c r="AK173">
        <v>14</v>
      </c>
      <c r="AL173">
        <v>6</v>
      </c>
      <c r="AM173">
        <v>170</v>
      </c>
      <c r="AN173">
        <v>464</v>
      </c>
      <c r="AO173">
        <v>32</v>
      </c>
      <c r="AQ173" s="27">
        <f>250+19*AK173+D173*(23+(AM173-AO173)+AO173*(1-IF(AP173&gt;0,AP173,$AS$2)))</f>
        <v>689.8</v>
      </c>
    </row>
    <row r="174" spans="1:43" ht="12.75">
      <c r="A174" s="7" t="s">
        <v>1046</v>
      </c>
      <c r="B174" s="18" t="s">
        <v>1263</v>
      </c>
      <c r="C174" s="7" t="s">
        <v>1802</v>
      </c>
      <c r="D174" s="19">
        <v>6</v>
      </c>
      <c r="E174" t="s">
        <v>1993</v>
      </c>
      <c r="F174" s="19"/>
      <c r="G174" s="4">
        <f>IF(F174&gt;0,F174,IF(PrefetchDBSummary!$C$10="B",AJ174,8))</f>
        <v>8</v>
      </c>
      <c r="H174" s="4">
        <f>PrefetchDBSummary!$C$19</f>
        <v>0</v>
      </c>
      <c r="I174" s="4">
        <f>PrefetchDBSummary!$D$19</f>
        <v>0</v>
      </c>
      <c r="J174" s="5">
        <f t="shared" si="38"/>
        <v>0</v>
      </c>
      <c r="K174" s="4">
        <f t="shared" si="39"/>
        <v>0</v>
      </c>
      <c r="L174" s="4">
        <f t="shared" si="40"/>
        <v>0</v>
      </c>
      <c r="M174" s="5">
        <f t="shared" si="41"/>
        <v>0</v>
      </c>
      <c r="N174" s="17">
        <f t="shared" si="29"/>
        <v>0</v>
      </c>
      <c r="O174" s="32">
        <f t="shared" si="30"/>
        <v>0</v>
      </c>
      <c r="AG174" t="s">
        <v>1807</v>
      </c>
      <c r="AH174" t="s">
        <v>583</v>
      </c>
      <c r="AI174">
        <v>1</v>
      </c>
      <c r="AJ174">
        <v>8</v>
      </c>
      <c r="AK174">
        <v>7</v>
      </c>
      <c r="AL174">
        <v>0</v>
      </c>
      <c r="AM174">
        <v>375</v>
      </c>
      <c r="AN174">
        <v>375</v>
      </c>
      <c r="AO174">
        <v>352</v>
      </c>
      <c r="AQ174" s="27">
        <f aca="true" t="shared" si="49" ref="AQ174:AQ248">250+19*AK174+D174*(23+(AM174-AO174)+AO174*(1-IF(AP174&gt;0,AP174,$AS$2)))</f>
        <v>1503.8000000000002</v>
      </c>
    </row>
    <row r="175" spans="1:43" ht="12.75">
      <c r="A175" s="7" t="s">
        <v>1046</v>
      </c>
      <c r="B175" s="18" t="s">
        <v>1263</v>
      </c>
      <c r="C175" t="s">
        <v>1047</v>
      </c>
      <c r="D175" s="19">
        <v>4</v>
      </c>
      <c r="E175" t="s">
        <v>1988</v>
      </c>
      <c r="F175" s="19"/>
      <c r="G175" s="4">
        <f>IF(F175&gt;0,F175,IF(PrefetchDBSummary!$C$10="B",AJ175,8))</f>
        <v>8</v>
      </c>
      <c r="H175" s="4">
        <f>PrefetchDBSummary!$C$19</f>
        <v>0</v>
      </c>
      <c r="I175" s="4">
        <f>PrefetchDBSummary!$D$19</f>
        <v>0</v>
      </c>
      <c r="J175" s="5">
        <f t="shared" si="38"/>
        <v>0</v>
      </c>
      <c r="K175" s="4">
        <f t="shared" si="39"/>
        <v>0</v>
      </c>
      <c r="L175" s="4">
        <f t="shared" si="40"/>
        <v>0</v>
      </c>
      <c r="M175" s="5">
        <f t="shared" si="41"/>
        <v>0</v>
      </c>
      <c r="N175" s="17">
        <f t="shared" si="29"/>
        <v>0</v>
      </c>
      <c r="O175" s="32">
        <f t="shared" si="30"/>
        <v>0</v>
      </c>
      <c r="AG175" t="s">
        <v>1054</v>
      </c>
      <c r="AH175" t="s">
        <v>583</v>
      </c>
      <c r="AI175">
        <v>1</v>
      </c>
      <c r="AJ175">
        <v>32</v>
      </c>
      <c r="AK175">
        <v>11</v>
      </c>
      <c r="AL175">
        <v>6</v>
      </c>
      <c r="AM175">
        <v>323</v>
      </c>
      <c r="AN175">
        <v>557</v>
      </c>
      <c r="AO175">
        <v>288</v>
      </c>
      <c r="AQ175" s="27">
        <f t="shared" si="49"/>
        <v>1151.8</v>
      </c>
    </row>
    <row r="176" spans="1:43" ht="12.75">
      <c r="A176" s="7" t="s">
        <v>1046</v>
      </c>
      <c r="B176" s="18" t="s">
        <v>1263</v>
      </c>
      <c r="C176" t="s">
        <v>1048</v>
      </c>
      <c r="D176" s="19">
        <v>1</v>
      </c>
      <c r="E176" t="s">
        <v>1989</v>
      </c>
      <c r="F176" s="19"/>
      <c r="G176" s="4">
        <f>IF(F176&gt;0,F176,IF(PrefetchDBSummary!$C$10="B",AJ176,8))</f>
        <v>8</v>
      </c>
      <c r="H176" s="4">
        <f>PrefetchDBSummary!$C$19</f>
        <v>0</v>
      </c>
      <c r="I176" s="4">
        <f>PrefetchDBSummary!$D$19</f>
        <v>0</v>
      </c>
      <c r="J176" s="5">
        <f t="shared" si="38"/>
        <v>0</v>
      </c>
      <c r="K176" s="4">
        <f t="shared" si="39"/>
        <v>0</v>
      </c>
      <c r="L176" s="4">
        <f t="shared" si="40"/>
        <v>0</v>
      </c>
      <c r="M176" s="5">
        <f t="shared" si="41"/>
        <v>0</v>
      </c>
      <c r="N176" s="17">
        <f t="shared" si="29"/>
        <v>0</v>
      </c>
      <c r="O176" s="32">
        <f t="shared" si="30"/>
        <v>0</v>
      </c>
      <c r="AG176" t="s">
        <v>1055</v>
      </c>
      <c r="AH176" t="s">
        <v>583</v>
      </c>
      <c r="AI176">
        <v>1</v>
      </c>
      <c r="AJ176">
        <v>8</v>
      </c>
      <c r="AK176">
        <v>18</v>
      </c>
      <c r="AL176">
        <v>15</v>
      </c>
      <c r="AM176">
        <v>258</v>
      </c>
      <c r="AN176">
        <v>911</v>
      </c>
      <c r="AO176">
        <v>96</v>
      </c>
      <c r="AQ176" s="27">
        <f t="shared" si="49"/>
        <v>815.4</v>
      </c>
    </row>
    <row r="177" spans="1:43" ht="12.75">
      <c r="A177" s="7" t="s">
        <v>1046</v>
      </c>
      <c r="B177" s="18" t="s">
        <v>1263</v>
      </c>
      <c r="C177" t="s">
        <v>1049</v>
      </c>
      <c r="D177" s="19">
        <v>5</v>
      </c>
      <c r="E177" s="7" t="s">
        <v>2002</v>
      </c>
      <c r="F177" s="19"/>
      <c r="G177" s="4">
        <f>IF(F177&gt;0,F177,IF(PrefetchDBSummary!$C$10="B",AJ177,8))</f>
        <v>8</v>
      </c>
      <c r="H177" s="4">
        <f>PrefetchDBSummary!$C$19</f>
        <v>0</v>
      </c>
      <c r="I177" s="4">
        <f>PrefetchDBSummary!$D$19</f>
        <v>0</v>
      </c>
      <c r="J177" s="5">
        <f t="shared" si="38"/>
        <v>0</v>
      </c>
      <c r="K177" s="4">
        <f t="shared" si="39"/>
        <v>0</v>
      </c>
      <c r="L177" s="4">
        <f t="shared" si="40"/>
        <v>0</v>
      </c>
      <c r="M177" s="5">
        <f t="shared" si="41"/>
        <v>0</v>
      </c>
      <c r="N177" s="17">
        <f t="shared" si="29"/>
        <v>0</v>
      </c>
      <c r="O177" s="32">
        <f t="shared" si="30"/>
        <v>0</v>
      </c>
      <c r="AG177" t="s">
        <v>1056</v>
      </c>
      <c r="AH177" t="s">
        <v>583</v>
      </c>
      <c r="AI177">
        <v>1</v>
      </c>
      <c r="AJ177">
        <v>32</v>
      </c>
      <c r="AK177">
        <v>12</v>
      </c>
      <c r="AL177">
        <v>7</v>
      </c>
      <c r="AM177">
        <v>260</v>
      </c>
      <c r="AN177">
        <v>561</v>
      </c>
      <c r="AO177">
        <v>160</v>
      </c>
      <c r="AQ177" s="27">
        <f t="shared" si="49"/>
        <v>1413</v>
      </c>
    </row>
    <row r="178" spans="1:43" ht="12.75">
      <c r="A178" s="7" t="s">
        <v>1046</v>
      </c>
      <c r="B178" s="18" t="s">
        <v>1263</v>
      </c>
      <c r="C178" t="s">
        <v>1803</v>
      </c>
      <c r="D178" s="19">
        <v>10</v>
      </c>
      <c r="E178" t="s">
        <v>1990</v>
      </c>
      <c r="F178" s="19"/>
      <c r="G178" s="4">
        <f>IF(F178&gt;0,F178,IF(PrefetchDBSummary!$C$10="B",AJ178,8))</f>
        <v>8</v>
      </c>
      <c r="H178" s="4">
        <f>PrefetchDBSummary!$C$19</f>
        <v>0</v>
      </c>
      <c r="I178" s="4">
        <f>PrefetchDBSummary!$D$19</f>
        <v>0</v>
      </c>
      <c r="J178" s="5">
        <f t="shared" si="38"/>
        <v>0</v>
      </c>
      <c r="K178" s="4">
        <f t="shared" si="39"/>
        <v>0</v>
      </c>
      <c r="L178" s="4">
        <f t="shared" si="40"/>
        <v>0</v>
      </c>
      <c r="M178" s="5">
        <f t="shared" si="41"/>
        <v>0</v>
      </c>
      <c r="N178" s="17">
        <f t="shared" si="29"/>
        <v>0</v>
      </c>
      <c r="O178" s="32">
        <f t="shared" si="30"/>
        <v>0</v>
      </c>
      <c r="AG178" t="s">
        <v>1808</v>
      </c>
      <c r="AH178" t="s">
        <v>583</v>
      </c>
      <c r="AI178">
        <v>1</v>
      </c>
      <c r="AJ178">
        <v>8</v>
      </c>
      <c r="AK178">
        <v>7</v>
      </c>
      <c r="AL178">
        <v>0</v>
      </c>
      <c r="AM178">
        <v>375</v>
      </c>
      <c r="AN178">
        <v>375</v>
      </c>
      <c r="AO178">
        <v>352</v>
      </c>
      <c r="AQ178" s="27">
        <f t="shared" si="49"/>
        <v>2251</v>
      </c>
    </row>
    <row r="179" spans="1:43" ht="12.75">
      <c r="A179" s="7" t="s">
        <v>1046</v>
      </c>
      <c r="B179" s="18" t="s">
        <v>1263</v>
      </c>
      <c r="C179" t="s">
        <v>1804</v>
      </c>
      <c r="D179" s="19"/>
      <c r="E179" t="s">
        <v>1991</v>
      </c>
      <c r="F179" s="19"/>
      <c r="G179" s="4">
        <f>IF(F179&gt;0,F179,IF(PrefetchDBSummary!$C$10="B",AJ179,8))</f>
        <v>8</v>
      </c>
      <c r="H179" s="4">
        <f>PrefetchDBSummary!$C$19</f>
        <v>0</v>
      </c>
      <c r="I179" s="4">
        <f>PrefetchDBSummary!$D$19</f>
        <v>0</v>
      </c>
      <c r="J179" s="5">
        <f t="shared" si="38"/>
        <v>0</v>
      </c>
      <c r="K179" s="4">
        <f t="shared" si="39"/>
        <v>0</v>
      </c>
      <c r="L179" s="4">
        <f t="shared" si="40"/>
        <v>0</v>
      </c>
      <c r="M179" s="5">
        <f t="shared" si="41"/>
        <v>0</v>
      </c>
      <c r="N179" s="17">
        <f t="shared" si="29"/>
        <v>0</v>
      </c>
      <c r="O179" s="32">
        <f t="shared" si="30"/>
        <v>0</v>
      </c>
      <c r="AG179" t="s">
        <v>1809</v>
      </c>
      <c r="AH179" t="s">
        <v>583</v>
      </c>
      <c r="AI179">
        <v>1</v>
      </c>
      <c r="AJ179">
        <v>8</v>
      </c>
      <c r="AK179">
        <v>7</v>
      </c>
      <c r="AL179">
        <v>0</v>
      </c>
      <c r="AM179">
        <v>375</v>
      </c>
      <c r="AN179">
        <v>375</v>
      </c>
      <c r="AO179">
        <v>352</v>
      </c>
      <c r="AQ179" s="27">
        <f t="shared" si="49"/>
        <v>383</v>
      </c>
    </row>
    <row r="180" spans="1:43" ht="12.75">
      <c r="A180" s="7" t="s">
        <v>1046</v>
      </c>
      <c r="B180" s="18" t="s">
        <v>1263</v>
      </c>
      <c r="C180" t="s">
        <v>1050</v>
      </c>
      <c r="D180" s="19">
        <v>2</v>
      </c>
      <c r="E180" t="s">
        <v>1992</v>
      </c>
      <c r="F180" s="19"/>
      <c r="G180" s="4">
        <f>IF(F180&gt;0,F180,IF(PrefetchDBSummary!$C$10="B",AJ180,8))</f>
        <v>8</v>
      </c>
      <c r="H180" s="4">
        <f>PrefetchDBSummary!$C$19</f>
        <v>0</v>
      </c>
      <c r="I180" s="4">
        <f>PrefetchDBSummary!$D$19</f>
        <v>0</v>
      </c>
      <c r="J180" s="5">
        <f t="shared" si="38"/>
        <v>0</v>
      </c>
      <c r="K180" s="4">
        <f t="shared" si="39"/>
        <v>0</v>
      </c>
      <c r="L180" s="4">
        <f t="shared" si="40"/>
        <v>0</v>
      </c>
      <c r="M180" s="5">
        <f t="shared" si="41"/>
        <v>0</v>
      </c>
      <c r="N180" s="17">
        <f t="shared" si="29"/>
        <v>0</v>
      </c>
      <c r="O180" s="32">
        <f t="shared" si="30"/>
        <v>0</v>
      </c>
      <c r="AG180" t="s">
        <v>1057</v>
      </c>
      <c r="AH180" t="s">
        <v>583</v>
      </c>
      <c r="AI180">
        <v>1</v>
      </c>
      <c r="AJ180">
        <v>8</v>
      </c>
      <c r="AK180">
        <v>6</v>
      </c>
      <c r="AL180">
        <v>0</v>
      </c>
      <c r="AM180">
        <v>159</v>
      </c>
      <c r="AN180">
        <v>159</v>
      </c>
      <c r="AO180">
        <v>139</v>
      </c>
      <c r="AQ180" s="27">
        <f t="shared" si="49"/>
        <v>561.2</v>
      </c>
    </row>
    <row r="181" spans="1:43" ht="12.75">
      <c r="A181" s="7" t="s">
        <v>1046</v>
      </c>
      <c r="B181" s="18" t="s">
        <v>1263</v>
      </c>
      <c r="C181" t="s">
        <v>1051</v>
      </c>
      <c r="D181" s="19">
        <v>16</v>
      </c>
      <c r="E181" t="s">
        <v>1994</v>
      </c>
      <c r="F181" s="19"/>
      <c r="G181" s="4">
        <f>IF(F181&gt;0,F181,IF(PrefetchDBSummary!$C$10="B",AJ181,8))</f>
        <v>8</v>
      </c>
      <c r="H181" s="4">
        <f>PrefetchDBSummary!$C$19</f>
        <v>0</v>
      </c>
      <c r="I181" s="4">
        <f>PrefetchDBSummary!$D$19</f>
        <v>0</v>
      </c>
      <c r="J181" s="5">
        <f t="shared" si="38"/>
        <v>0</v>
      </c>
      <c r="K181" s="4">
        <f t="shared" si="39"/>
        <v>0</v>
      </c>
      <c r="L181" s="4">
        <f t="shared" si="40"/>
        <v>0</v>
      </c>
      <c r="M181" s="5">
        <f t="shared" si="41"/>
        <v>0</v>
      </c>
      <c r="N181" s="17">
        <f t="shared" si="29"/>
        <v>0</v>
      </c>
      <c r="O181" s="32">
        <f t="shared" si="30"/>
        <v>0</v>
      </c>
      <c r="AG181" t="s">
        <v>1058</v>
      </c>
      <c r="AH181" t="s">
        <v>583</v>
      </c>
      <c r="AI181">
        <v>1</v>
      </c>
      <c r="AJ181">
        <v>8</v>
      </c>
      <c r="AK181">
        <v>19</v>
      </c>
      <c r="AL181">
        <v>15</v>
      </c>
      <c r="AM181">
        <v>331</v>
      </c>
      <c r="AN181">
        <v>992</v>
      </c>
      <c r="AO181">
        <v>160</v>
      </c>
      <c r="AQ181" s="27">
        <f t="shared" si="49"/>
        <v>4739</v>
      </c>
    </row>
    <row r="182" spans="1:43" ht="12.75">
      <c r="A182" s="7" t="s">
        <v>1046</v>
      </c>
      <c r="B182" s="18" t="s">
        <v>1263</v>
      </c>
      <c r="C182" t="s">
        <v>1748</v>
      </c>
      <c r="D182" s="19"/>
      <c r="E182" t="s">
        <v>1995</v>
      </c>
      <c r="F182" s="19"/>
      <c r="G182" s="4">
        <f>IF(F182&gt;0,F182,IF(PrefetchDBSummary!$C$10="B",AJ182,8))</f>
        <v>8</v>
      </c>
      <c r="H182" s="4">
        <f>PrefetchDBSummary!$C$19</f>
        <v>0</v>
      </c>
      <c r="I182" s="4">
        <f>PrefetchDBSummary!$D$19</f>
        <v>0</v>
      </c>
      <c r="J182" s="5">
        <f t="shared" si="38"/>
        <v>0</v>
      </c>
      <c r="K182" s="4">
        <f t="shared" si="39"/>
        <v>0</v>
      </c>
      <c r="L182" s="4">
        <f t="shared" si="40"/>
        <v>0</v>
      </c>
      <c r="M182" s="5">
        <f t="shared" si="41"/>
        <v>0</v>
      </c>
      <c r="N182" s="17">
        <f t="shared" si="29"/>
        <v>0</v>
      </c>
      <c r="O182" s="32">
        <f t="shared" si="30"/>
        <v>0</v>
      </c>
      <c r="AG182" t="s">
        <v>1751</v>
      </c>
      <c r="AH182" t="s">
        <v>583</v>
      </c>
      <c r="AI182">
        <v>1</v>
      </c>
      <c r="AJ182">
        <v>8</v>
      </c>
      <c r="AK182">
        <v>7</v>
      </c>
      <c r="AL182">
        <v>0</v>
      </c>
      <c r="AM182">
        <v>375</v>
      </c>
      <c r="AN182">
        <v>375</v>
      </c>
      <c r="AO182">
        <v>352</v>
      </c>
      <c r="AQ182" s="27">
        <f t="shared" si="49"/>
        <v>383</v>
      </c>
    </row>
    <row r="183" spans="1:43" ht="12.75">
      <c r="A183" s="7" t="s">
        <v>1046</v>
      </c>
      <c r="B183" s="18" t="s">
        <v>1263</v>
      </c>
      <c r="C183" t="s">
        <v>1052</v>
      </c>
      <c r="D183" s="19"/>
      <c r="E183" t="s">
        <v>1996</v>
      </c>
      <c r="F183" s="19"/>
      <c r="G183" s="4">
        <f>IF(F183&gt;0,F183,IF(PrefetchDBSummary!$C$10="B",AJ183,8))</f>
        <v>8</v>
      </c>
      <c r="H183" s="4">
        <f>PrefetchDBSummary!$C$19</f>
        <v>0</v>
      </c>
      <c r="I183" s="4">
        <f>PrefetchDBSummary!$D$19</f>
        <v>0</v>
      </c>
      <c r="J183" s="5">
        <f t="shared" si="38"/>
        <v>0</v>
      </c>
      <c r="K183" s="4">
        <f t="shared" si="39"/>
        <v>0</v>
      </c>
      <c r="L183" s="4">
        <f t="shared" si="40"/>
        <v>0</v>
      </c>
      <c r="M183" s="5">
        <f t="shared" si="41"/>
        <v>0</v>
      </c>
      <c r="N183" s="17">
        <f t="shared" si="29"/>
        <v>0</v>
      </c>
      <c r="O183" s="32">
        <f t="shared" si="30"/>
        <v>0</v>
      </c>
      <c r="AG183" t="s">
        <v>1059</v>
      </c>
      <c r="AH183" t="s">
        <v>583</v>
      </c>
      <c r="AI183">
        <v>1</v>
      </c>
      <c r="AJ183">
        <v>32</v>
      </c>
      <c r="AK183">
        <v>14</v>
      </c>
      <c r="AL183">
        <v>10</v>
      </c>
      <c r="AM183">
        <v>270</v>
      </c>
      <c r="AN183">
        <v>700</v>
      </c>
      <c r="AO183">
        <v>160</v>
      </c>
      <c r="AQ183" s="27">
        <f t="shared" si="49"/>
        <v>516</v>
      </c>
    </row>
    <row r="184" spans="1:43" ht="12.75">
      <c r="A184" s="7" t="s">
        <v>1046</v>
      </c>
      <c r="B184" s="18" t="s">
        <v>1263</v>
      </c>
      <c r="C184" t="s">
        <v>1053</v>
      </c>
      <c r="D184" s="19"/>
      <c r="E184" t="s">
        <v>1997</v>
      </c>
      <c r="F184" s="19"/>
      <c r="G184" s="4">
        <f>IF(F184&gt;0,F184,IF(PrefetchDBSummary!$C$10="B",AJ184,8))</f>
        <v>8</v>
      </c>
      <c r="H184" s="4">
        <f>PrefetchDBSummary!$C$19</f>
        <v>0</v>
      </c>
      <c r="I184" s="4">
        <f>PrefetchDBSummary!$D$19</f>
        <v>0</v>
      </c>
      <c r="J184" s="5">
        <f t="shared" si="38"/>
        <v>0</v>
      </c>
      <c r="K184" s="4">
        <f t="shared" si="39"/>
        <v>0</v>
      </c>
      <c r="L184" s="4">
        <f t="shared" si="40"/>
        <v>0</v>
      </c>
      <c r="M184" s="5">
        <f t="shared" si="41"/>
        <v>0</v>
      </c>
      <c r="N184" s="17">
        <f t="shared" si="29"/>
        <v>0</v>
      </c>
      <c r="O184" s="32">
        <f t="shared" si="30"/>
        <v>0</v>
      </c>
      <c r="AG184" t="s">
        <v>1060</v>
      </c>
      <c r="AH184" t="s">
        <v>583</v>
      </c>
      <c r="AI184">
        <v>5</v>
      </c>
      <c r="AJ184">
        <v>8</v>
      </c>
      <c r="AK184">
        <v>18</v>
      </c>
      <c r="AL184">
        <v>15</v>
      </c>
      <c r="AM184">
        <v>254</v>
      </c>
      <c r="AN184">
        <v>915</v>
      </c>
      <c r="AO184">
        <v>96</v>
      </c>
      <c r="AQ184" s="27">
        <f t="shared" si="49"/>
        <v>592</v>
      </c>
    </row>
    <row r="185" spans="1:43" ht="12.75">
      <c r="A185" s="7" t="s">
        <v>1046</v>
      </c>
      <c r="B185" s="18" t="s">
        <v>1263</v>
      </c>
      <c r="C185" t="s">
        <v>1749</v>
      </c>
      <c r="D185" s="19"/>
      <c r="E185" t="s">
        <v>1998</v>
      </c>
      <c r="F185" s="19"/>
      <c r="G185" s="4">
        <f>IF(F185&gt;0,F185,IF(PrefetchDBSummary!$C$10="B",AJ185,8))</f>
        <v>8</v>
      </c>
      <c r="H185" s="4">
        <f>PrefetchDBSummary!$C$19</f>
        <v>0</v>
      </c>
      <c r="I185" s="4">
        <f>PrefetchDBSummary!$D$19</f>
        <v>0</v>
      </c>
      <c r="J185" s="5">
        <f t="shared" si="38"/>
        <v>0</v>
      </c>
      <c r="K185" s="4">
        <f t="shared" si="39"/>
        <v>0</v>
      </c>
      <c r="L185" s="4">
        <f t="shared" si="40"/>
        <v>0</v>
      </c>
      <c r="M185" s="5">
        <f t="shared" si="41"/>
        <v>0</v>
      </c>
      <c r="N185" s="17">
        <f t="shared" si="29"/>
        <v>0</v>
      </c>
      <c r="O185" s="32">
        <f t="shared" si="30"/>
        <v>0</v>
      </c>
      <c r="AG185" t="s">
        <v>1752</v>
      </c>
      <c r="AH185" t="s">
        <v>583</v>
      </c>
      <c r="AI185">
        <v>1</v>
      </c>
      <c r="AJ185">
        <v>32</v>
      </c>
      <c r="AK185">
        <v>3</v>
      </c>
      <c r="AL185">
        <v>0</v>
      </c>
      <c r="AM185">
        <v>163</v>
      </c>
      <c r="AN185">
        <v>163</v>
      </c>
      <c r="AO185">
        <v>160</v>
      </c>
      <c r="AQ185" s="27">
        <f t="shared" si="49"/>
        <v>307</v>
      </c>
    </row>
    <row r="186" spans="1:43" ht="12.75">
      <c r="A186" s="7" t="s">
        <v>1046</v>
      </c>
      <c r="B186" s="18" t="s">
        <v>1263</v>
      </c>
      <c r="C186" t="s">
        <v>1805</v>
      </c>
      <c r="D186" s="19"/>
      <c r="E186" t="s">
        <v>1999</v>
      </c>
      <c r="F186" s="19"/>
      <c r="G186" s="4">
        <f>IF(F186&gt;0,F186,IF(PrefetchDBSummary!$C$10="B",AJ186,8))</f>
        <v>8</v>
      </c>
      <c r="H186" s="4">
        <f>PrefetchDBSummary!$C$19</f>
        <v>0</v>
      </c>
      <c r="I186" s="4">
        <f>PrefetchDBSummary!$D$19</f>
        <v>0</v>
      </c>
      <c r="J186" s="5">
        <f t="shared" si="38"/>
        <v>0</v>
      </c>
      <c r="K186" s="4">
        <f t="shared" si="39"/>
        <v>0</v>
      </c>
      <c r="L186" s="4">
        <f t="shared" si="40"/>
        <v>0</v>
      </c>
      <c r="M186" s="5">
        <f t="shared" si="41"/>
        <v>0</v>
      </c>
      <c r="N186" s="17">
        <f t="shared" si="29"/>
        <v>0</v>
      </c>
      <c r="O186" s="32">
        <f t="shared" si="30"/>
        <v>0</v>
      </c>
      <c r="AG186" t="s">
        <v>1810</v>
      </c>
      <c r="AH186" t="s">
        <v>583</v>
      </c>
      <c r="AI186">
        <v>1</v>
      </c>
      <c r="AJ186">
        <v>8</v>
      </c>
      <c r="AK186">
        <v>7</v>
      </c>
      <c r="AL186">
        <v>0</v>
      </c>
      <c r="AM186">
        <v>375</v>
      </c>
      <c r="AN186">
        <v>375</v>
      </c>
      <c r="AO186">
        <v>352</v>
      </c>
      <c r="AQ186" s="27">
        <f t="shared" si="49"/>
        <v>383</v>
      </c>
    </row>
    <row r="187" spans="1:43" ht="12.75">
      <c r="A187" s="7" t="s">
        <v>1046</v>
      </c>
      <c r="B187" s="18" t="s">
        <v>1263</v>
      </c>
      <c r="C187" t="s">
        <v>1806</v>
      </c>
      <c r="D187" s="19"/>
      <c r="E187" t="s">
        <v>2000</v>
      </c>
      <c r="F187" s="19"/>
      <c r="G187" s="4">
        <f>IF(F187&gt;0,F187,IF(PrefetchDBSummary!$C$10="B",AJ187,8))</f>
        <v>8</v>
      </c>
      <c r="H187" s="4">
        <f>PrefetchDBSummary!$C$19</f>
        <v>0</v>
      </c>
      <c r="I187" s="4">
        <f>PrefetchDBSummary!$D$19</f>
        <v>0</v>
      </c>
      <c r="J187" s="5">
        <f t="shared" si="38"/>
        <v>0</v>
      </c>
      <c r="K187" s="4">
        <f t="shared" si="39"/>
        <v>0</v>
      </c>
      <c r="L187" s="4">
        <f t="shared" si="40"/>
        <v>0</v>
      </c>
      <c r="M187" s="5">
        <f t="shared" si="41"/>
        <v>0</v>
      </c>
      <c r="N187" s="17">
        <f t="shared" si="29"/>
        <v>0</v>
      </c>
      <c r="O187" s="32">
        <f t="shared" si="30"/>
        <v>0</v>
      </c>
      <c r="AG187" t="s">
        <v>1811</v>
      </c>
      <c r="AH187" t="s">
        <v>583</v>
      </c>
      <c r="AI187">
        <v>1</v>
      </c>
      <c r="AJ187">
        <v>8</v>
      </c>
      <c r="AK187">
        <v>7</v>
      </c>
      <c r="AL187">
        <v>0</v>
      </c>
      <c r="AM187">
        <v>375</v>
      </c>
      <c r="AN187">
        <v>375</v>
      </c>
      <c r="AO187">
        <v>352</v>
      </c>
      <c r="AQ187" s="27">
        <f t="shared" si="49"/>
        <v>383</v>
      </c>
    </row>
    <row r="188" spans="1:43" ht="12.75">
      <c r="A188" s="7" t="s">
        <v>1046</v>
      </c>
      <c r="B188" s="18" t="s">
        <v>1263</v>
      </c>
      <c r="C188" t="s">
        <v>1750</v>
      </c>
      <c r="D188" s="19"/>
      <c r="E188" t="s">
        <v>2001</v>
      </c>
      <c r="F188" s="19"/>
      <c r="G188" s="4">
        <f>IF(F188&gt;0,F188,IF(PrefetchDBSummary!$C$10="B",AJ188,8))</f>
        <v>8</v>
      </c>
      <c r="H188" s="4">
        <f>PrefetchDBSummary!$C$19</f>
        <v>0</v>
      </c>
      <c r="I188" s="4">
        <f>PrefetchDBSummary!$D$19</f>
        <v>0</v>
      </c>
      <c r="J188" s="5">
        <f t="shared" si="38"/>
        <v>0</v>
      </c>
      <c r="K188" s="4">
        <f t="shared" si="39"/>
        <v>0</v>
      </c>
      <c r="L188" s="4">
        <f t="shared" si="40"/>
        <v>0</v>
      </c>
      <c r="M188" s="5">
        <f t="shared" si="41"/>
        <v>0</v>
      </c>
      <c r="N188" s="17">
        <f t="shared" si="29"/>
        <v>0</v>
      </c>
      <c r="O188" s="32">
        <f t="shared" si="30"/>
        <v>0</v>
      </c>
      <c r="AG188" t="s">
        <v>1753</v>
      </c>
      <c r="AH188" t="s">
        <v>583</v>
      </c>
      <c r="AI188">
        <v>1</v>
      </c>
      <c r="AJ188">
        <v>8</v>
      </c>
      <c r="AK188">
        <v>7</v>
      </c>
      <c r="AL188">
        <v>0</v>
      </c>
      <c r="AM188">
        <v>375</v>
      </c>
      <c r="AN188">
        <v>375</v>
      </c>
      <c r="AO188">
        <v>352</v>
      </c>
      <c r="AQ188" s="27">
        <f t="shared" si="49"/>
        <v>383</v>
      </c>
    </row>
    <row r="189" spans="1:43" ht="12.75">
      <c r="A189" s="18" t="s">
        <v>424</v>
      </c>
      <c r="B189" s="18" t="s">
        <v>425</v>
      </c>
      <c r="C189" t="s">
        <v>445</v>
      </c>
      <c r="D189" s="19">
        <v>1</v>
      </c>
      <c r="E189" s="7" t="s">
        <v>728</v>
      </c>
      <c r="F189" s="19"/>
      <c r="G189" s="4">
        <f>IF(F189&gt;0,F189,IF(PrefetchDBSummary!$C$10="B",AJ189,8))</f>
        <v>8</v>
      </c>
      <c r="H189" s="4">
        <f>PrefetchDBSummary!$C$21</f>
        <v>0</v>
      </c>
      <c r="I189" s="4">
        <f>PrefetchDBSummary!$D$21</f>
        <v>0</v>
      </c>
      <c r="J189" s="5">
        <f t="shared" si="38"/>
        <v>0</v>
      </c>
      <c r="K189" s="4">
        <f t="shared" si="39"/>
        <v>0</v>
      </c>
      <c r="L189" s="4">
        <f t="shared" si="40"/>
        <v>0</v>
      </c>
      <c r="M189" s="5">
        <f t="shared" si="41"/>
        <v>0</v>
      </c>
      <c r="N189" s="17">
        <f t="shared" si="29"/>
        <v>0</v>
      </c>
      <c r="O189" s="32">
        <f t="shared" si="30"/>
        <v>0</v>
      </c>
      <c r="AG189" t="s">
        <v>446</v>
      </c>
      <c r="AH189" t="s">
        <v>583</v>
      </c>
      <c r="AI189">
        <v>1</v>
      </c>
      <c r="AJ189">
        <v>8</v>
      </c>
      <c r="AK189">
        <v>8</v>
      </c>
      <c r="AL189">
        <v>0</v>
      </c>
      <c r="AM189">
        <v>756</v>
      </c>
      <c r="AN189">
        <v>756</v>
      </c>
      <c r="AO189">
        <v>736</v>
      </c>
      <c r="AQ189" s="27">
        <f t="shared" si="49"/>
        <v>739.4000000000001</v>
      </c>
    </row>
    <row r="190" spans="1:43" ht="12.75">
      <c r="A190" s="18" t="s">
        <v>424</v>
      </c>
      <c r="B190" s="18" t="s">
        <v>425</v>
      </c>
      <c r="C190" t="s">
        <v>449</v>
      </c>
      <c r="D190" s="19">
        <v>1</v>
      </c>
      <c r="E190" s="7" t="s">
        <v>728</v>
      </c>
      <c r="F190" s="19"/>
      <c r="G190" s="4">
        <f>IF(F190&gt;0,F190,IF(PrefetchDBSummary!$C$10="B",AJ190,8))</f>
        <v>8</v>
      </c>
      <c r="H190" s="4">
        <f>PrefetchDBSummary!$C$21</f>
        <v>0</v>
      </c>
      <c r="I190" s="4">
        <f>PrefetchDBSummary!$D$21</f>
        <v>0</v>
      </c>
      <c r="J190" s="5">
        <f t="shared" si="38"/>
        <v>0</v>
      </c>
      <c r="K190" s="4">
        <f t="shared" si="39"/>
        <v>0</v>
      </c>
      <c r="L190" s="4">
        <f t="shared" si="40"/>
        <v>0</v>
      </c>
      <c r="M190" s="5">
        <f t="shared" si="41"/>
        <v>0</v>
      </c>
      <c r="N190" s="17">
        <f t="shared" si="29"/>
        <v>0</v>
      </c>
      <c r="O190" s="32">
        <f t="shared" si="30"/>
        <v>0</v>
      </c>
      <c r="AG190" t="s">
        <v>450</v>
      </c>
      <c r="AH190" t="s">
        <v>583</v>
      </c>
      <c r="AI190">
        <v>1</v>
      </c>
      <c r="AJ190">
        <v>32</v>
      </c>
      <c r="AK190">
        <v>14</v>
      </c>
      <c r="AL190">
        <v>6</v>
      </c>
      <c r="AM190">
        <v>742</v>
      </c>
      <c r="AN190">
        <v>976</v>
      </c>
      <c r="AO190">
        <v>688</v>
      </c>
      <c r="AQ190" s="27">
        <f t="shared" si="49"/>
        <v>868.2</v>
      </c>
    </row>
    <row r="191" spans="1:43" ht="12.75">
      <c r="A191" s="18" t="s">
        <v>424</v>
      </c>
      <c r="B191" s="18" t="s">
        <v>425</v>
      </c>
      <c r="C191" t="s">
        <v>447</v>
      </c>
      <c r="D191" s="19">
        <v>3</v>
      </c>
      <c r="E191" s="7" t="s">
        <v>737</v>
      </c>
      <c r="F191" s="19"/>
      <c r="G191" s="4">
        <f>IF(F191&gt;0,F191,IF(PrefetchDBSummary!$C$10="B",AJ191,8))</f>
        <v>8</v>
      </c>
      <c r="H191" s="4">
        <f>PrefetchDBSummary!$C$21</f>
        <v>0</v>
      </c>
      <c r="I191" s="4">
        <f>PrefetchDBSummary!$D$21</f>
        <v>0</v>
      </c>
      <c r="J191" s="5">
        <f t="shared" si="38"/>
        <v>0</v>
      </c>
      <c r="K191" s="4">
        <f t="shared" si="39"/>
        <v>0</v>
      </c>
      <c r="L191" s="4">
        <f t="shared" si="40"/>
        <v>0</v>
      </c>
      <c r="M191" s="5">
        <f t="shared" si="41"/>
        <v>0</v>
      </c>
      <c r="N191" s="17">
        <f t="shared" si="29"/>
        <v>0</v>
      </c>
      <c r="O191" s="32">
        <f t="shared" si="30"/>
        <v>0</v>
      </c>
      <c r="AG191" t="s">
        <v>448</v>
      </c>
      <c r="AH191" t="s">
        <v>583</v>
      </c>
      <c r="AI191">
        <v>1</v>
      </c>
      <c r="AJ191">
        <v>32</v>
      </c>
      <c r="AK191">
        <v>14</v>
      </c>
      <c r="AL191">
        <v>8</v>
      </c>
      <c r="AM191">
        <v>654</v>
      </c>
      <c r="AN191">
        <v>966</v>
      </c>
      <c r="AO191">
        <v>592</v>
      </c>
      <c r="AQ191" s="27">
        <f t="shared" si="49"/>
        <v>1481.4</v>
      </c>
    </row>
    <row r="192" spans="1:43" ht="12.75">
      <c r="A192" s="18" t="s">
        <v>645</v>
      </c>
      <c r="B192" s="18" t="s">
        <v>660</v>
      </c>
      <c r="C192" t="s">
        <v>646</v>
      </c>
      <c r="D192" s="19">
        <v>10</v>
      </c>
      <c r="E192" s="7" t="s">
        <v>738</v>
      </c>
      <c r="F192" s="19"/>
      <c r="G192" s="4">
        <f>IF(F192&gt;0,F192,IF(PrefetchDBSummary!$C$10="B",AJ192,8))</f>
        <v>8</v>
      </c>
      <c r="H192" s="4">
        <f>PrefetchDBSummary!$C$32</f>
        <v>0</v>
      </c>
      <c r="I192" s="4">
        <f>PrefetchDBSummary!$D$32</f>
        <v>0</v>
      </c>
      <c r="J192" s="5">
        <f t="shared" si="38"/>
        <v>0</v>
      </c>
      <c r="K192" s="4">
        <f t="shared" si="39"/>
        <v>0</v>
      </c>
      <c r="L192" s="4">
        <f t="shared" si="40"/>
        <v>0</v>
      </c>
      <c r="M192" s="5">
        <f t="shared" si="41"/>
        <v>0</v>
      </c>
      <c r="N192" s="17">
        <f t="shared" si="29"/>
        <v>0</v>
      </c>
      <c r="O192" s="32">
        <f t="shared" si="30"/>
        <v>0</v>
      </c>
      <c r="AG192" t="s">
        <v>647</v>
      </c>
      <c r="AH192" t="s">
        <v>583</v>
      </c>
      <c r="AI192">
        <v>1</v>
      </c>
      <c r="AJ192">
        <v>15</v>
      </c>
      <c r="AK192">
        <v>6</v>
      </c>
      <c r="AL192">
        <v>2</v>
      </c>
      <c r="AM192">
        <v>202</v>
      </c>
      <c r="AN192">
        <v>280</v>
      </c>
      <c r="AO192">
        <v>184</v>
      </c>
      <c r="AQ192" s="27">
        <f t="shared" si="49"/>
        <v>1510</v>
      </c>
    </row>
    <row r="193" spans="1:43" ht="12.75">
      <c r="A193" s="18" t="s">
        <v>645</v>
      </c>
      <c r="B193" s="18" t="s">
        <v>660</v>
      </c>
      <c r="C193" t="s">
        <v>652</v>
      </c>
      <c r="D193" s="4">
        <f>PrefetchDBSummary!$E$32*2</f>
        <v>400</v>
      </c>
      <c r="E193" s="7" t="s">
        <v>740</v>
      </c>
      <c r="F193" s="19"/>
      <c r="G193" s="4">
        <f>IF(F193&gt;0,F193,IF(PrefetchDBSummary!$C$10="B",AJ193,8))</f>
        <v>8</v>
      </c>
      <c r="H193" s="4">
        <f>PrefetchDBSummary!$C$32</f>
        <v>0</v>
      </c>
      <c r="I193" s="4">
        <f>PrefetchDBSummary!$D$32</f>
        <v>0</v>
      </c>
      <c r="J193" s="5">
        <f t="shared" si="38"/>
        <v>0</v>
      </c>
      <c r="K193" s="4">
        <f t="shared" si="39"/>
        <v>0</v>
      </c>
      <c r="L193" s="4">
        <f t="shared" si="40"/>
        <v>0</v>
      </c>
      <c r="M193" s="5">
        <f t="shared" si="41"/>
        <v>0</v>
      </c>
      <c r="N193" s="17">
        <f t="shared" si="29"/>
        <v>0</v>
      </c>
      <c r="O193" s="32">
        <f t="shared" si="30"/>
        <v>0</v>
      </c>
      <c r="AG193" t="s">
        <v>653</v>
      </c>
      <c r="AH193" t="s">
        <v>583</v>
      </c>
      <c r="AI193">
        <v>5</v>
      </c>
      <c r="AJ193">
        <v>32</v>
      </c>
      <c r="AK193">
        <v>6</v>
      </c>
      <c r="AL193">
        <v>2</v>
      </c>
      <c r="AM193">
        <v>214</v>
      </c>
      <c r="AN193">
        <v>316</v>
      </c>
      <c r="AO193">
        <v>160</v>
      </c>
      <c r="AQ193" s="27">
        <f t="shared" si="49"/>
        <v>56764</v>
      </c>
    </row>
    <row r="194" spans="1:43" ht="12.75">
      <c r="A194" s="18" t="s">
        <v>645</v>
      </c>
      <c r="B194" s="18" t="s">
        <v>660</v>
      </c>
      <c r="C194" t="s">
        <v>654</v>
      </c>
      <c r="D194" s="19">
        <v>1</v>
      </c>
      <c r="E194" s="7" t="str">
        <f>IF(AH194="S","Always one row per interval","")</f>
        <v>Always one row per interval</v>
      </c>
      <c r="F194" s="19"/>
      <c r="G194" s="4">
        <f>IF(F194&gt;0,F194,IF(PrefetchDBSummary!$C$10="B",AJ194,8))</f>
        <v>8</v>
      </c>
      <c r="H194" s="4">
        <f>PrefetchDBSummary!$C$32</f>
        <v>0</v>
      </c>
      <c r="I194" s="4">
        <f>PrefetchDBSummary!$D$32</f>
        <v>0</v>
      </c>
      <c r="J194" s="5">
        <f t="shared" si="38"/>
        <v>0</v>
      </c>
      <c r="K194" s="4">
        <f t="shared" si="39"/>
        <v>0</v>
      </c>
      <c r="L194" s="4">
        <f t="shared" si="40"/>
        <v>0</v>
      </c>
      <c r="M194" s="5">
        <f t="shared" si="41"/>
        <v>0</v>
      </c>
      <c r="N194" s="17">
        <f t="shared" si="29"/>
        <v>0</v>
      </c>
      <c r="O194" s="32">
        <f t="shared" si="30"/>
        <v>0</v>
      </c>
      <c r="AG194" t="s">
        <v>655</v>
      </c>
      <c r="AH194" t="s">
        <v>582</v>
      </c>
      <c r="AI194">
        <v>1</v>
      </c>
      <c r="AJ194">
        <v>32</v>
      </c>
      <c r="AK194">
        <v>4</v>
      </c>
      <c r="AL194">
        <v>2</v>
      </c>
      <c r="AM194">
        <v>60</v>
      </c>
      <c r="AN194">
        <v>138</v>
      </c>
      <c r="AO194">
        <v>32</v>
      </c>
      <c r="AQ194" s="27">
        <f t="shared" si="49"/>
        <v>389.8</v>
      </c>
    </row>
    <row r="195" spans="1:43" ht="12.75">
      <c r="A195" s="18" t="s">
        <v>645</v>
      </c>
      <c r="B195" s="18" t="s">
        <v>660</v>
      </c>
      <c r="C195" t="s">
        <v>656</v>
      </c>
      <c r="D195" s="19">
        <v>1</v>
      </c>
      <c r="E195" s="7" t="str">
        <f>IF(AH195="S","Always one row per interval","")</f>
        <v>Always one row per interval</v>
      </c>
      <c r="F195" s="19"/>
      <c r="G195" s="4">
        <f>IF(F195&gt;0,F195,IF(PrefetchDBSummary!$C$10="B",AJ195,8))</f>
        <v>8</v>
      </c>
      <c r="H195" s="4">
        <f>PrefetchDBSummary!$C$32</f>
        <v>0</v>
      </c>
      <c r="I195" s="4">
        <f>PrefetchDBSummary!$D$32</f>
        <v>0</v>
      </c>
      <c r="J195" s="5">
        <f t="shared" si="38"/>
        <v>0</v>
      </c>
      <c r="K195" s="4">
        <f t="shared" si="39"/>
        <v>0</v>
      </c>
      <c r="L195" s="4">
        <f t="shared" si="40"/>
        <v>0</v>
      </c>
      <c r="M195" s="5">
        <f t="shared" si="41"/>
        <v>0</v>
      </c>
      <c r="N195" s="17">
        <f t="shared" si="29"/>
        <v>0</v>
      </c>
      <c r="O195" s="32">
        <f t="shared" si="30"/>
        <v>0</v>
      </c>
      <c r="AG195" t="s">
        <v>657</v>
      </c>
      <c r="AH195" t="s">
        <v>582</v>
      </c>
      <c r="AI195">
        <v>30</v>
      </c>
      <c r="AJ195">
        <v>8</v>
      </c>
      <c r="AK195">
        <v>7</v>
      </c>
      <c r="AL195">
        <v>0</v>
      </c>
      <c r="AM195">
        <v>1069</v>
      </c>
      <c r="AN195">
        <v>1069</v>
      </c>
      <c r="AO195">
        <v>1058</v>
      </c>
      <c r="AQ195" s="27">
        <f t="shared" si="49"/>
        <v>840.2</v>
      </c>
    </row>
    <row r="196" spans="1:43" ht="12.75">
      <c r="A196" s="18" t="s">
        <v>645</v>
      </c>
      <c r="B196" s="18" t="s">
        <v>660</v>
      </c>
      <c r="C196" t="s">
        <v>648</v>
      </c>
      <c r="D196" s="4">
        <f>PrefetchDBSummary!$E$32</f>
        <v>200</v>
      </c>
      <c r="E196" s="7" t="s">
        <v>739</v>
      </c>
      <c r="F196" s="19"/>
      <c r="G196" s="4">
        <f>IF(F196&gt;0,F196,IF(PrefetchDBSummary!$C$10="B",AJ196,8))</f>
        <v>8</v>
      </c>
      <c r="H196" s="4">
        <f>PrefetchDBSummary!$C$32</f>
        <v>0</v>
      </c>
      <c r="I196" s="4">
        <f>PrefetchDBSummary!$D$32</f>
        <v>0</v>
      </c>
      <c r="J196" s="5">
        <f t="shared" si="38"/>
        <v>0</v>
      </c>
      <c r="K196" s="4">
        <f t="shared" si="39"/>
        <v>0</v>
      </c>
      <c r="L196" s="4">
        <f t="shared" si="40"/>
        <v>0</v>
      </c>
      <c r="M196" s="5">
        <f t="shared" si="41"/>
        <v>0</v>
      </c>
      <c r="N196" s="17">
        <f t="shared" si="29"/>
        <v>0</v>
      </c>
      <c r="O196" s="32">
        <f t="shared" si="30"/>
        <v>0</v>
      </c>
      <c r="AG196" t="s">
        <v>649</v>
      </c>
      <c r="AH196" t="s">
        <v>583</v>
      </c>
      <c r="AI196">
        <v>1</v>
      </c>
      <c r="AJ196">
        <v>15</v>
      </c>
      <c r="AK196">
        <v>6</v>
      </c>
      <c r="AL196">
        <v>2</v>
      </c>
      <c r="AM196">
        <v>190</v>
      </c>
      <c r="AN196">
        <v>268</v>
      </c>
      <c r="AO196">
        <v>160</v>
      </c>
      <c r="AQ196" s="27">
        <f t="shared" si="49"/>
        <v>23764</v>
      </c>
    </row>
    <row r="197" spans="1:43" ht="12.75">
      <c r="A197" s="18" t="s">
        <v>645</v>
      </c>
      <c r="B197" s="18" t="s">
        <v>660</v>
      </c>
      <c r="C197" t="s">
        <v>650</v>
      </c>
      <c r="D197" s="4">
        <f>PrefetchDBSummary!$E$32</f>
        <v>200</v>
      </c>
      <c r="E197" s="7" t="s">
        <v>739</v>
      </c>
      <c r="F197" s="19"/>
      <c r="G197" s="4">
        <f>IF(F197&gt;0,F197,IF(PrefetchDBSummary!$C$10="B",AJ197,8))</f>
        <v>8</v>
      </c>
      <c r="H197" s="4">
        <f>PrefetchDBSummary!$C$32</f>
        <v>0</v>
      </c>
      <c r="I197" s="4">
        <f>PrefetchDBSummary!$D$32</f>
        <v>0</v>
      </c>
      <c r="J197" s="5">
        <f t="shared" si="38"/>
        <v>0</v>
      </c>
      <c r="K197" s="4">
        <f t="shared" si="39"/>
        <v>0</v>
      </c>
      <c r="L197" s="4">
        <f t="shared" si="40"/>
        <v>0</v>
      </c>
      <c r="M197" s="5">
        <f t="shared" si="41"/>
        <v>0</v>
      </c>
      <c r="N197" s="17">
        <f t="shared" si="29"/>
        <v>0</v>
      </c>
      <c r="O197" s="32">
        <f t="shared" si="30"/>
        <v>0</v>
      </c>
      <c r="AG197" t="s">
        <v>651</v>
      </c>
      <c r="AH197" t="s">
        <v>583</v>
      </c>
      <c r="AI197">
        <v>5</v>
      </c>
      <c r="AJ197">
        <v>8</v>
      </c>
      <c r="AK197">
        <v>11</v>
      </c>
      <c r="AL197">
        <v>1</v>
      </c>
      <c r="AM197">
        <v>383</v>
      </c>
      <c r="AN197">
        <v>422</v>
      </c>
      <c r="AO197">
        <v>352</v>
      </c>
      <c r="AQ197" s="27">
        <f t="shared" si="49"/>
        <v>39419</v>
      </c>
    </row>
    <row r="198" spans="1:43" ht="12.75">
      <c r="A198" s="18" t="s">
        <v>645</v>
      </c>
      <c r="B198" s="18" t="s">
        <v>660</v>
      </c>
      <c r="C198" t="s">
        <v>658</v>
      </c>
      <c r="D198" s="4">
        <f>PrefetchDBSummary!$E$32</f>
        <v>200</v>
      </c>
      <c r="E198" s="7" t="s">
        <v>739</v>
      </c>
      <c r="F198" s="19"/>
      <c r="G198" s="4">
        <f>IF(F198&gt;0,F198,IF(PrefetchDBSummary!$C$10="B",AJ198,8))</f>
        <v>8</v>
      </c>
      <c r="H198" s="4">
        <f>PrefetchDBSummary!$C$32</f>
        <v>0</v>
      </c>
      <c r="I198" s="4">
        <f>PrefetchDBSummary!$D$32</f>
        <v>0</v>
      </c>
      <c r="J198" s="5">
        <f t="shared" si="38"/>
        <v>0</v>
      </c>
      <c r="K198" s="4">
        <f t="shared" si="39"/>
        <v>0</v>
      </c>
      <c r="L198" s="4">
        <f t="shared" si="40"/>
        <v>0</v>
      </c>
      <c r="M198" s="5">
        <f t="shared" si="41"/>
        <v>0</v>
      </c>
      <c r="N198" s="17">
        <f t="shared" si="29"/>
        <v>0</v>
      </c>
      <c r="O198" s="32">
        <f t="shared" si="30"/>
        <v>0</v>
      </c>
      <c r="AG198" t="s">
        <v>659</v>
      </c>
      <c r="AH198" t="s">
        <v>583</v>
      </c>
      <c r="AI198">
        <v>5</v>
      </c>
      <c r="AJ198">
        <v>8</v>
      </c>
      <c r="AK198">
        <v>22</v>
      </c>
      <c r="AL198">
        <v>2</v>
      </c>
      <c r="AM198">
        <v>1674</v>
      </c>
      <c r="AN198">
        <v>1752</v>
      </c>
      <c r="AO198">
        <v>1628</v>
      </c>
      <c r="AQ198" s="27">
        <f t="shared" si="49"/>
        <v>144708</v>
      </c>
    </row>
    <row r="199" spans="1:43" ht="12.75">
      <c r="A199" s="18" t="s">
        <v>2120</v>
      </c>
      <c r="B199" s="7" t="s">
        <v>2149</v>
      </c>
      <c r="C199" t="s">
        <v>2121</v>
      </c>
      <c r="D199" s="19">
        <v>55</v>
      </c>
      <c r="E199" s="7" t="s">
        <v>2130</v>
      </c>
      <c r="F199" s="19"/>
      <c r="G199" s="4">
        <f>IF(F199&gt;0,F199,IF(PrefetchDBSummary!$C$10="B",AJ199,8))</f>
        <v>8</v>
      </c>
      <c r="H199" s="4">
        <f>PrefetchDBSummary!$C$46</f>
        <v>0</v>
      </c>
      <c r="I199" s="4">
        <f>PrefetchDBSummary!$D$46</f>
        <v>0</v>
      </c>
      <c r="J199" s="5">
        <f>IF(H199&gt;0,(AQ199)/(AI199*60),IF(I199&gt;0,(AQ199)/(5*60),0))</f>
        <v>0</v>
      </c>
      <c r="K199" s="4">
        <f>IF(H199&gt;0,D199/AI199,IF(I199&gt;0,D199/5,0))</f>
        <v>0</v>
      </c>
      <c r="L199" s="4">
        <f>H199*D199/AI199+I199*D199/5</f>
        <v>0</v>
      </c>
      <c r="M199" s="5">
        <f>L199*AM199*(1-IF(AP199&gt;0,AP199,$AS$2)*$AS$3)/1024</f>
        <v>0</v>
      </c>
      <c r="N199" s="17">
        <f>L199*60*24*IF(G199&gt;0,G199,(G199))</f>
        <v>0</v>
      </c>
      <c r="O199" s="32">
        <f>N199*($AM199-$AO199*IF($AP199&gt;0,1-$AP199,1-$AS$2))*(1-$AS$3)/1024/1024</f>
        <v>0</v>
      </c>
      <c r="AG199" t="s">
        <v>2125</v>
      </c>
      <c r="AH199" t="s">
        <v>583</v>
      </c>
      <c r="AI199">
        <v>1</v>
      </c>
      <c r="AJ199">
        <v>32</v>
      </c>
      <c r="AK199">
        <v>4</v>
      </c>
      <c r="AL199">
        <v>1</v>
      </c>
      <c r="AM199">
        <v>61</v>
      </c>
      <c r="AN199">
        <v>112</v>
      </c>
      <c r="AO199">
        <v>32</v>
      </c>
      <c r="AQ199" s="27">
        <f>250+19*AK199+D199*(23+(AM199-AO199)+AO199*(1-IF(AP199&gt;0,AP199,$AS$2)))</f>
        <v>3890</v>
      </c>
    </row>
    <row r="200" spans="1:43" ht="12.75">
      <c r="A200" s="18" t="s">
        <v>2120</v>
      </c>
      <c r="B200" s="7" t="s">
        <v>2149</v>
      </c>
      <c r="C200" t="s">
        <v>2122</v>
      </c>
      <c r="D200" s="19">
        <v>48</v>
      </c>
      <c r="E200" s="7" t="s">
        <v>2129</v>
      </c>
      <c r="F200" s="19"/>
      <c r="G200" s="4">
        <f>IF(F200&gt;0,F200,IF(PrefetchDBSummary!$C$10="B",AJ200,8))</f>
        <v>8</v>
      </c>
      <c r="H200" s="4">
        <f>PrefetchDBSummary!$C$46</f>
        <v>0</v>
      </c>
      <c r="I200" s="4">
        <f>PrefetchDBSummary!$D$46</f>
        <v>0</v>
      </c>
      <c r="J200" s="5">
        <f>IF(H200&gt;0,(AQ200)/(AI200*60),IF(I200&gt;0,(AQ200)/(5*60),0))</f>
        <v>0</v>
      </c>
      <c r="K200" s="4">
        <f>IF(H200&gt;0,D200/AI200,IF(I200&gt;0,D200/5,0))</f>
        <v>0</v>
      </c>
      <c r="L200" s="4">
        <f>H200*D200/AI200+I200*D200/5</f>
        <v>0</v>
      </c>
      <c r="M200" s="5">
        <f>L200*AM200*(1-IF(AP200&gt;0,AP200,$AS$2)*$AS$3)/1024</f>
        <v>0</v>
      </c>
      <c r="N200" s="17">
        <f>L200*60*24*IF(G200&gt;0,G200,(G200))</f>
        <v>0</v>
      </c>
      <c r="O200" s="32">
        <f>N200*($AM200-$AO200*IF($AP200&gt;0,1-$AP200,1-$AS$2))*(1-$AS$3)/1024/1024</f>
        <v>0</v>
      </c>
      <c r="AG200" t="s">
        <v>2126</v>
      </c>
      <c r="AH200" t="s">
        <v>583</v>
      </c>
      <c r="AI200">
        <v>1</v>
      </c>
      <c r="AJ200">
        <v>32</v>
      </c>
      <c r="AK200">
        <v>5</v>
      </c>
      <c r="AL200">
        <v>1</v>
      </c>
      <c r="AM200">
        <v>63</v>
      </c>
      <c r="AN200">
        <v>114</v>
      </c>
      <c r="AO200">
        <v>32</v>
      </c>
      <c r="AQ200" s="27">
        <f>250+19*AK200+D200*(23+(AM200-AO200)+AO200*(1-IF(AP200&gt;0,AP200,$AS$2)))</f>
        <v>3551.3999999999996</v>
      </c>
    </row>
    <row r="201" spans="1:43" ht="12.75">
      <c r="A201" s="18" t="s">
        <v>2120</v>
      </c>
      <c r="B201" s="7" t="s">
        <v>2149</v>
      </c>
      <c r="C201" t="s">
        <v>2123</v>
      </c>
      <c r="D201" s="19">
        <v>1</v>
      </c>
      <c r="E201" s="7" t="s">
        <v>710</v>
      </c>
      <c r="F201" s="19"/>
      <c r="G201" s="4">
        <f>IF(F201&gt;0,F201,IF(PrefetchDBSummary!$C$10="B",AJ201,8))</f>
        <v>8</v>
      </c>
      <c r="H201" s="4">
        <f>PrefetchDBSummary!$C$46</f>
        <v>0</v>
      </c>
      <c r="I201" s="4">
        <f>PrefetchDBSummary!$D$46</f>
        <v>0</v>
      </c>
      <c r="J201" s="5">
        <f>IF(H201&gt;0,(AQ201)/(AI201*60),IF(I201&gt;0,(AQ201)/(5*60),0))</f>
        <v>0</v>
      </c>
      <c r="K201" s="4">
        <f>IF(H201&gt;0,D201/AI201,IF(I201&gt;0,D201/5,0))</f>
        <v>0</v>
      </c>
      <c r="L201" s="4">
        <f>H201*D201/AI201+I201*D201/5</f>
        <v>0</v>
      </c>
      <c r="M201" s="5">
        <f>L201*AM201*(1-IF(AP201&gt;0,AP201,$AS$2)*$AS$3)/1024</f>
        <v>0</v>
      </c>
      <c r="N201" s="17">
        <f>L201*60*24*IF(G201&gt;0,G201,(G201))</f>
        <v>0</v>
      </c>
      <c r="O201" s="32">
        <f>N201*($AM201-$AO201*IF($AP201&gt;0,1-$AP201,1-$AS$2))*(1-$AS$3)/1024/1024</f>
        <v>0</v>
      </c>
      <c r="AG201" t="s">
        <v>2127</v>
      </c>
      <c r="AH201" t="s">
        <v>582</v>
      </c>
      <c r="AI201">
        <v>1</v>
      </c>
      <c r="AJ201">
        <v>32</v>
      </c>
      <c r="AK201">
        <v>13</v>
      </c>
      <c r="AL201">
        <v>8</v>
      </c>
      <c r="AM201">
        <v>181</v>
      </c>
      <c r="AN201">
        <v>565</v>
      </c>
      <c r="AO201">
        <v>32</v>
      </c>
      <c r="AQ201" s="27">
        <f>250+19*AK201+D201*(23+(AM201-AO201)+AO201*(1-IF(AP201&gt;0,AP201,$AS$2)))</f>
        <v>681.8</v>
      </c>
    </row>
    <row r="202" spans="1:43" ht="12.75">
      <c r="A202" s="18" t="s">
        <v>2120</v>
      </c>
      <c r="B202" s="7" t="s">
        <v>2149</v>
      </c>
      <c r="C202" t="s">
        <v>2124</v>
      </c>
      <c r="D202" s="19"/>
      <c r="E202" s="7"/>
      <c r="F202" s="19"/>
      <c r="G202" s="4">
        <f>IF(F202&gt;0,F202,IF(PrefetchDBSummary!$C$10="B",AJ202,8))</f>
        <v>8</v>
      </c>
      <c r="H202" s="4">
        <f>PrefetchDBSummary!$C$46</f>
        <v>0</v>
      </c>
      <c r="I202" s="4">
        <f>PrefetchDBSummary!$D$46</f>
        <v>0</v>
      </c>
      <c r="J202" s="5">
        <f>IF(H202&gt;0,(AQ202)/(AI202*60),IF(I202&gt;0,(AQ202)/(5*60),0))</f>
        <v>0</v>
      </c>
      <c r="K202" s="4">
        <f>IF(H202&gt;0,D202/AI202,IF(I202&gt;0,D202/5,0))</f>
        <v>0</v>
      </c>
      <c r="L202" s="4">
        <f>H202*D202/AI202+I202*D202/5</f>
        <v>0</v>
      </c>
      <c r="M202" s="5">
        <f>L202*AM202*(1-IF(AP202&gt;0,AP202,$AS$2)*$AS$3)/1024</f>
        <v>0</v>
      </c>
      <c r="N202" s="17">
        <f>L202*60*24*IF(G202&gt;0,G202,(G202))</f>
        <v>0</v>
      </c>
      <c r="O202" s="32">
        <f>N202*($AM202-$AO202*IF($AP202&gt;0,1-$AP202,1-$AS$2))*(1-$AS$3)/1024/1024</f>
        <v>0</v>
      </c>
      <c r="AG202" t="s">
        <v>2128</v>
      </c>
      <c r="AH202" t="s">
        <v>583</v>
      </c>
      <c r="AI202">
        <v>1</v>
      </c>
      <c r="AJ202">
        <v>32</v>
      </c>
      <c r="AK202">
        <v>6</v>
      </c>
      <c r="AL202">
        <v>3</v>
      </c>
      <c r="AM202">
        <v>98</v>
      </c>
      <c r="AN202">
        <v>251</v>
      </c>
      <c r="AO202">
        <v>32</v>
      </c>
      <c r="AQ202" s="27">
        <f>250+19*AK202+D202*(23+(AM202-AO202)+AO202*(1-IF(AP202&gt;0,AP202,$AS$2)))</f>
        <v>364</v>
      </c>
    </row>
    <row r="203" spans="1:43" ht="12.75">
      <c r="A203" s="18" t="s">
        <v>423</v>
      </c>
      <c r="B203" s="18" t="s">
        <v>580</v>
      </c>
      <c r="C203" t="s">
        <v>1754</v>
      </c>
      <c r="D203" s="19">
        <v>1</v>
      </c>
      <c r="E203" s="7" t="s">
        <v>721</v>
      </c>
      <c r="F203" s="19"/>
      <c r="G203" s="4">
        <f>IF(F203&gt;0,F203,IF(PrefetchDBSummary!$C$10="B",AJ203,8))</f>
        <v>8</v>
      </c>
      <c r="H203" s="4">
        <f>PrefetchDBSummary!$C$26</f>
        <v>0</v>
      </c>
      <c r="I203" s="4">
        <f>PrefetchDBSummary!$D$26</f>
        <v>0</v>
      </c>
      <c r="J203" s="5">
        <f t="shared" si="38"/>
        <v>0</v>
      </c>
      <c r="K203" s="4">
        <f t="shared" si="39"/>
        <v>0</v>
      </c>
      <c r="L203" s="4">
        <f t="shared" si="40"/>
        <v>0</v>
      </c>
      <c r="M203" s="5">
        <f t="shared" si="41"/>
        <v>0</v>
      </c>
      <c r="N203" s="17">
        <f t="shared" si="29"/>
        <v>0</v>
      </c>
      <c r="O203" s="32">
        <f t="shared" si="30"/>
        <v>0</v>
      </c>
      <c r="AG203" t="s">
        <v>1758</v>
      </c>
      <c r="AH203" t="s">
        <v>582</v>
      </c>
      <c r="AI203">
        <v>1</v>
      </c>
      <c r="AJ203">
        <v>8</v>
      </c>
      <c r="AK203">
        <v>3</v>
      </c>
      <c r="AL203">
        <v>2</v>
      </c>
      <c r="AM203">
        <v>43</v>
      </c>
      <c r="AN203">
        <v>121</v>
      </c>
      <c r="AO203">
        <v>32</v>
      </c>
      <c r="AQ203" s="27">
        <f t="shared" si="49"/>
        <v>353.8</v>
      </c>
    </row>
    <row r="204" spans="1:43" ht="12.75">
      <c r="A204" s="18" t="s">
        <v>423</v>
      </c>
      <c r="B204" s="18" t="s">
        <v>580</v>
      </c>
      <c r="C204" t="s">
        <v>1392</v>
      </c>
      <c r="D204" s="19">
        <v>2</v>
      </c>
      <c r="E204" s="7" t="s">
        <v>1394</v>
      </c>
      <c r="F204" s="19"/>
      <c r="G204" s="4">
        <f>IF(F204&gt;0,F204,IF(PrefetchDBSummary!$C$10="B",AJ204,8))</f>
        <v>8</v>
      </c>
      <c r="H204" s="4">
        <f>PrefetchDBSummary!$C$26</f>
        <v>0</v>
      </c>
      <c r="I204" s="4">
        <f>PrefetchDBSummary!$D$26</f>
        <v>0</v>
      </c>
      <c r="J204" s="5">
        <f t="shared" si="38"/>
        <v>0</v>
      </c>
      <c r="K204" s="4">
        <f t="shared" si="39"/>
        <v>0</v>
      </c>
      <c r="L204" s="4">
        <f t="shared" si="40"/>
        <v>0</v>
      </c>
      <c r="M204" s="5">
        <f t="shared" si="41"/>
        <v>0</v>
      </c>
      <c r="N204" s="17">
        <f t="shared" si="29"/>
        <v>0</v>
      </c>
      <c r="O204" s="32">
        <f t="shared" si="30"/>
        <v>0</v>
      </c>
      <c r="AG204" t="s">
        <v>1393</v>
      </c>
      <c r="AH204" t="s">
        <v>583</v>
      </c>
      <c r="AI204">
        <v>1</v>
      </c>
      <c r="AJ204">
        <v>32</v>
      </c>
      <c r="AK204">
        <v>19</v>
      </c>
      <c r="AL204">
        <v>15</v>
      </c>
      <c r="AM204">
        <v>395</v>
      </c>
      <c r="AN204">
        <v>1000</v>
      </c>
      <c r="AO204">
        <v>288</v>
      </c>
      <c r="AQ204" s="27">
        <f t="shared" si="49"/>
        <v>1101.4</v>
      </c>
    </row>
    <row r="205" spans="1:43" ht="12.75">
      <c r="A205" s="18" t="s">
        <v>423</v>
      </c>
      <c r="B205" s="18" t="s">
        <v>580</v>
      </c>
      <c r="C205" t="s">
        <v>453</v>
      </c>
      <c r="D205" s="19">
        <v>2</v>
      </c>
      <c r="E205" s="7" t="s">
        <v>741</v>
      </c>
      <c r="F205" s="19"/>
      <c r="G205" s="4">
        <f>IF(F205&gt;0,F205,IF(PrefetchDBSummary!$C$10="B",AJ205,8))</f>
        <v>8</v>
      </c>
      <c r="H205" s="4">
        <f>PrefetchDBSummary!$C$26</f>
        <v>0</v>
      </c>
      <c r="I205" s="4">
        <f>PrefetchDBSummary!$D$26</f>
        <v>0</v>
      </c>
      <c r="J205" s="5">
        <f t="shared" si="38"/>
        <v>0</v>
      </c>
      <c r="K205" s="4">
        <f t="shared" si="39"/>
        <v>0</v>
      </c>
      <c r="L205" s="4">
        <f t="shared" si="40"/>
        <v>0</v>
      </c>
      <c r="M205" s="5">
        <f t="shared" si="41"/>
        <v>0</v>
      </c>
      <c r="N205" s="17">
        <f t="shared" si="29"/>
        <v>0</v>
      </c>
      <c r="O205" s="32">
        <f t="shared" si="30"/>
        <v>0</v>
      </c>
      <c r="AG205" t="s">
        <v>454</v>
      </c>
      <c r="AH205" t="s">
        <v>583</v>
      </c>
      <c r="AI205">
        <v>1</v>
      </c>
      <c r="AJ205">
        <v>8</v>
      </c>
      <c r="AK205">
        <v>7</v>
      </c>
      <c r="AL205">
        <v>4</v>
      </c>
      <c r="AM205">
        <v>187</v>
      </c>
      <c r="AN205">
        <v>359</v>
      </c>
      <c r="AO205">
        <v>132</v>
      </c>
      <c r="AQ205" s="27">
        <f t="shared" si="49"/>
        <v>644.6</v>
      </c>
    </row>
    <row r="206" spans="1:43" ht="12.75">
      <c r="A206" s="18" t="s">
        <v>423</v>
      </c>
      <c r="B206" s="18" t="s">
        <v>580</v>
      </c>
      <c r="C206" t="s">
        <v>451</v>
      </c>
      <c r="D206" s="19">
        <v>2</v>
      </c>
      <c r="E206" s="7" t="s">
        <v>741</v>
      </c>
      <c r="F206" s="19"/>
      <c r="G206" s="4">
        <f>IF(F206&gt;0,F206,IF(PrefetchDBSummary!$C$10="B",AJ206,8))</f>
        <v>8</v>
      </c>
      <c r="H206" s="4">
        <f>PrefetchDBSummary!$C$26</f>
        <v>0</v>
      </c>
      <c r="I206" s="4">
        <f>PrefetchDBSummary!$D$26</f>
        <v>0</v>
      </c>
      <c r="J206" s="5">
        <f t="shared" si="38"/>
        <v>0</v>
      </c>
      <c r="K206" s="4">
        <f t="shared" si="39"/>
        <v>0</v>
      </c>
      <c r="L206" s="4">
        <f t="shared" si="40"/>
        <v>0</v>
      </c>
      <c r="M206" s="5">
        <f t="shared" si="41"/>
        <v>0</v>
      </c>
      <c r="N206" s="17">
        <f t="shared" si="29"/>
        <v>0</v>
      </c>
      <c r="O206" s="32">
        <f t="shared" si="30"/>
        <v>0</v>
      </c>
      <c r="AG206" t="s">
        <v>452</v>
      </c>
      <c r="AH206" t="s">
        <v>583</v>
      </c>
      <c r="AI206">
        <v>1</v>
      </c>
      <c r="AJ206">
        <v>8</v>
      </c>
      <c r="AK206">
        <v>8</v>
      </c>
      <c r="AL206">
        <v>4</v>
      </c>
      <c r="AM206">
        <v>276</v>
      </c>
      <c r="AN206">
        <v>448</v>
      </c>
      <c r="AO206">
        <v>232</v>
      </c>
      <c r="AQ206" s="27">
        <f t="shared" si="49"/>
        <v>721.6</v>
      </c>
    </row>
    <row r="207" spans="1:43" ht="13.5" customHeight="1">
      <c r="A207" s="18" t="s">
        <v>423</v>
      </c>
      <c r="B207" s="18" t="s">
        <v>580</v>
      </c>
      <c r="C207" t="s">
        <v>455</v>
      </c>
      <c r="D207" s="19">
        <v>1</v>
      </c>
      <c r="E207" s="7" t="s">
        <v>721</v>
      </c>
      <c r="F207" s="19"/>
      <c r="G207" s="4">
        <f>IF(F207&gt;0,F207,IF(PrefetchDBSummary!$C$10="B",AJ207,8))</f>
        <v>8</v>
      </c>
      <c r="H207" s="4">
        <f>PrefetchDBSummary!$C$26</f>
        <v>0</v>
      </c>
      <c r="I207" s="4">
        <f>PrefetchDBSummary!$D$26</f>
        <v>0</v>
      </c>
      <c r="J207" s="5">
        <f t="shared" si="38"/>
        <v>0</v>
      </c>
      <c r="K207" s="4">
        <f t="shared" si="39"/>
        <v>0</v>
      </c>
      <c r="L207" s="4">
        <f t="shared" si="40"/>
        <v>0</v>
      </c>
      <c r="M207" s="5">
        <f t="shared" si="41"/>
        <v>0</v>
      </c>
      <c r="N207" s="17">
        <f t="shared" si="29"/>
        <v>0</v>
      </c>
      <c r="O207" s="32">
        <f t="shared" si="30"/>
        <v>0</v>
      </c>
      <c r="AG207" t="s">
        <v>456</v>
      </c>
      <c r="AH207" t="s">
        <v>582</v>
      </c>
      <c r="AI207">
        <v>8</v>
      </c>
      <c r="AJ207">
        <v>8</v>
      </c>
      <c r="AK207">
        <v>4</v>
      </c>
      <c r="AL207">
        <v>2</v>
      </c>
      <c r="AM207">
        <v>144</v>
      </c>
      <c r="AN207">
        <v>222</v>
      </c>
      <c r="AO207">
        <v>132</v>
      </c>
      <c r="AQ207" s="27">
        <f t="shared" si="49"/>
        <v>413.8</v>
      </c>
    </row>
    <row r="208" spans="1:43" ht="12.75">
      <c r="A208" s="18" t="s">
        <v>423</v>
      </c>
      <c r="B208" s="18" t="s">
        <v>580</v>
      </c>
      <c r="C208" t="s">
        <v>459</v>
      </c>
      <c r="D208" s="19">
        <v>15</v>
      </c>
      <c r="E208" s="7" t="s">
        <v>743</v>
      </c>
      <c r="F208" s="19"/>
      <c r="G208" s="4">
        <f>IF(F208&gt;0,F208,IF(PrefetchDBSummary!$C$10="B",AJ208,8))</f>
        <v>8</v>
      </c>
      <c r="H208" s="4">
        <f>PrefetchDBSummary!$C$26</f>
        <v>0</v>
      </c>
      <c r="I208" s="4">
        <f>PrefetchDBSummary!$D$26</f>
        <v>0</v>
      </c>
      <c r="J208" s="5">
        <f t="shared" si="38"/>
        <v>0</v>
      </c>
      <c r="K208" s="4">
        <f t="shared" si="39"/>
        <v>0</v>
      </c>
      <c r="L208" s="4">
        <f t="shared" si="40"/>
        <v>0</v>
      </c>
      <c r="M208" s="5">
        <f t="shared" si="41"/>
        <v>0</v>
      </c>
      <c r="N208" s="17">
        <f t="shared" si="29"/>
        <v>0</v>
      </c>
      <c r="O208" s="32">
        <f t="shared" si="30"/>
        <v>0</v>
      </c>
      <c r="AG208" t="s">
        <v>460</v>
      </c>
      <c r="AH208" t="s">
        <v>583</v>
      </c>
      <c r="AI208">
        <v>1</v>
      </c>
      <c r="AJ208">
        <v>32</v>
      </c>
      <c r="AK208">
        <v>8</v>
      </c>
      <c r="AL208">
        <v>4</v>
      </c>
      <c r="AM208">
        <v>440</v>
      </c>
      <c r="AN208">
        <v>584</v>
      </c>
      <c r="AO208">
        <v>388</v>
      </c>
      <c r="AQ208" s="27">
        <f t="shared" si="49"/>
        <v>3855.0000000000005</v>
      </c>
    </row>
    <row r="209" spans="1:43" ht="12.75">
      <c r="A209" s="18" t="s">
        <v>423</v>
      </c>
      <c r="B209" s="18" t="s">
        <v>580</v>
      </c>
      <c r="C209" t="s">
        <v>457</v>
      </c>
      <c r="D209" s="19">
        <v>15</v>
      </c>
      <c r="E209" s="7" t="s">
        <v>743</v>
      </c>
      <c r="F209" s="19"/>
      <c r="G209" s="4">
        <f>IF(F209&gt;0,F209,IF(PrefetchDBSummary!$C$10="B",AJ209,8))</f>
        <v>8</v>
      </c>
      <c r="H209" s="4">
        <f>PrefetchDBSummary!$C$26</f>
        <v>0</v>
      </c>
      <c r="I209" s="4">
        <f>PrefetchDBSummary!$D$26</f>
        <v>0</v>
      </c>
      <c r="J209" s="5">
        <f t="shared" si="38"/>
        <v>0</v>
      </c>
      <c r="K209" s="4">
        <f t="shared" si="39"/>
        <v>0</v>
      </c>
      <c r="L209" s="4">
        <f t="shared" si="40"/>
        <v>0</v>
      </c>
      <c r="M209" s="5">
        <f t="shared" si="41"/>
        <v>0</v>
      </c>
      <c r="N209" s="17">
        <f t="shared" si="29"/>
        <v>0</v>
      </c>
      <c r="O209" s="32">
        <f t="shared" si="30"/>
        <v>0</v>
      </c>
      <c r="AG209" t="s">
        <v>458</v>
      </c>
      <c r="AH209" t="s">
        <v>583</v>
      </c>
      <c r="AI209">
        <v>5</v>
      </c>
      <c r="AJ209">
        <v>32</v>
      </c>
      <c r="AK209">
        <v>11</v>
      </c>
      <c r="AL209">
        <v>5</v>
      </c>
      <c r="AM209">
        <v>563</v>
      </c>
      <c r="AN209">
        <v>754</v>
      </c>
      <c r="AO209">
        <v>488</v>
      </c>
      <c r="AQ209" s="27">
        <f t="shared" si="49"/>
        <v>4857.000000000001</v>
      </c>
    </row>
    <row r="210" spans="1:43" ht="12.75">
      <c r="A210" s="18" t="s">
        <v>423</v>
      </c>
      <c r="B210" s="18" t="s">
        <v>580</v>
      </c>
      <c r="C210" t="s">
        <v>461</v>
      </c>
      <c r="D210" s="19">
        <v>15</v>
      </c>
      <c r="E210" s="7" t="s">
        <v>743</v>
      </c>
      <c r="F210" s="19"/>
      <c r="G210" s="4">
        <f>IF(F210&gt;0,F210,IF(PrefetchDBSummary!$C$10="B",AJ210,8))</f>
        <v>8</v>
      </c>
      <c r="H210" s="4">
        <f>PrefetchDBSummary!$C$26</f>
        <v>0</v>
      </c>
      <c r="I210" s="4">
        <f>PrefetchDBSummary!$D$26</f>
        <v>0</v>
      </c>
      <c r="J210" s="5">
        <f t="shared" si="38"/>
        <v>0</v>
      </c>
      <c r="K210" s="4">
        <f t="shared" si="39"/>
        <v>0</v>
      </c>
      <c r="L210" s="4">
        <f t="shared" si="40"/>
        <v>0</v>
      </c>
      <c r="M210" s="5">
        <f t="shared" si="41"/>
        <v>0</v>
      </c>
      <c r="N210" s="17">
        <f t="shared" si="29"/>
        <v>0</v>
      </c>
      <c r="O210" s="32">
        <f t="shared" si="30"/>
        <v>0</v>
      </c>
      <c r="AG210" t="s">
        <v>462</v>
      </c>
      <c r="AH210" t="s">
        <v>582</v>
      </c>
      <c r="AI210">
        <v>1</v>
      </c>
      <c r="AJ210">
        <v>8</v>
      </c>
      <c r="AK210">
        <v>7</v>
      </c>
      <c r="AL210">
        <v>5</v>
      </c>
      <c r="AM210">
        <v>75</v>
      </c>
      <c r="AN210">
        <v>270</v>
      </c>
      <c r="AO210">
        <v>32</v>
      </c>
      <c r="AQ210" s="27">
        <f t="shared" si="49"/>
        <v>1565</v>
      </c>
    </row>
    <row r="211" spans="1:43" ht="12.75">
      <c r="A211" s="18" t="s">
        <v>423</v>
      </c>
      <c r="B211" s="18" t="s">
        <v>580</v>
      </c>
      <c r="C211" t="s">
        <v>1755</v>
      </c>
      <c r="D211" s="19">
        <v>1</v>
      </c>
      <c r="E211" s="7" t="str">
        <f>IF(AH211="S","Always one row per interval","")</f>
        <v>Always one row per interval</v>
      </c>
      <c r="F211" s="19"/>
      <c r="G211" s="4">
        <f>IF(F211&gt;0,F211,IF(PrefetchDBSummary!$C$10="B",AJ211,8))</f>
        <v>8</v>
      </c>
      <c r="H211" s="4">
        <f>PrefetchDBSummary!$C$26</f>
        <v>0</v>
      </c>
      <c r="I211" s="4">
        <f>PrefetchDBSummary!$D$26</f>
        <v>0</v>
      </c>
      <c r="J211" s="5">
        <f t="shared" si="38"/>
        <v>0</v>
      </c>
      <c r="K211" s="4">
        <f t="shared" si="39"/>
        <v>0</v>
      </c>
      <c r="L211" s="4">
        <f t="shared" si="40"/>
        <v>0</v>
      </c>
      <c r="M211" s="5">
        <f t="shared" si="41"/>
        <v>0</v>
      </c>
      <c r="N211" s="17">
        <f t="shared" si="29"/>
        <v>0</v>
      </c>
      <c r="O211" s="32">
        <f t="shared" si="30"/>
        <v>0</v>
      </c>
      <c r="AG211" t="s">
        <v>1759</v>
      </c>
      <c r="AH211" t="s">
        <v>582</v>
      </c>
      <c r="AI211">
        <v>5</v>
      </c>
      <c r="AJ211">
        <v>8</v>
      </c>
      <c r="AK211">
        <v>5</v>
      </c>
      <c r="AL211">
        <v>3</v>
      </c>
      <c r="AM211">
        <v>65</v>
      </c>
      <c r="AN211">
        <v>182</v>
      </c>
      <c r="AO211">
        <v>32</v>
      </c>
      <c r="AQ211" s="27">
        <f t="shared" si="49"/>
        <v>413.8</v>
      </c>
    </row>
    <row r="212" spans="1:43" ht="12.75">
      <c r="A212" s="18" t="s">
        <v>423</v>
      </c>
      <c r="B212" s="18" t="s">
        <v>580</v>
      </c>
      <c r="C212" t="s">
        <v>463</v>
      </c>
      <c r="D212" s="19">
        <v>1</v>
      </c>
      <c r="E212" s="7" t="str">
        <f>IF(AH212="S","Always one row per interval","")</f>
        <v>Always one row per interval</v>
      </c>
      <c r="F212" s="19"/>
      <c r="G212" s="4">
        <f>IF(F212&gt;0,F212,IF(PrefetchDBSummary!$C$10="B",AJ212,8))</f>
        <v>8</v>
      </c>
      <c r="H212" s="4">
        <f>PrefetchDBSummary!$C$26</f>
        <v>0</v>
      </c>
      <c r="I212" s="4">
        <f>PrefetchDBSummary!$D$26</f>
        <v>0</v>
      </c>
      <c r="J212" s="5">
        <f t="shared" si="38"/>
        <v>0</v>
      </c>
      <c r="K212" s="4">
        <f t="shared" si="39"/>
        <v>0</v>
      </c>
      <c r="L212" s="4">
        <f t="shared" si="40"/>
        <v>0</v>
      </c>
      <c r="M212" s="5">
        <f t="shared" si="41"/>
        <v>0</v>
      </c>
      <c r="N212" s="17">
        <f t="shared" si="29"/>
        <v>0</v>
      </c>
      <c r="O212" s="32">
        <f t="shared" si="30"/>
        <v>0</v>
      </c>
      <c r="AG212" t="s">
        <v>464</v>
      </c>
      <c r="AH212" t="s">
        <v>582</v>
      </c>
      <c r="AI212">
        <v>1</v>
      </c>
      <c r="AJ212">
        <v>8</v>
      </c>
      <c r="AK212">
        <v>5</v>
      </c>
      <c r="AL212">
        <v>3</v>
      </c>
      <c r="AM212">
        <v>85</v>
      </c>
      <c r="AN212">
        <v>222</v>
      </c>
      <c r="AO212">
        <v>32</v>
      </c>
      <c r="AQ212" s="27">
        <f t="shared" si="49"/>
        <v>433.8</v>
      </c>
    </row>
    <row r="213" spans="1:43" ht="12.75">
      <c r="A213" s="18" t="s">
        <v>423</v>
      </c>
      <c r="B213" s="18" t="s">
        <v>580</v>
      </c>
      <c r="C213" t="s">
        <v>465</v>
      </c>
      <c r="D213" s="19">
        <v>1</v>
      </c>
      <c r="E213" s="7" t="str">
        <f>IF(AH213="S","Always one row per interval","")</f>
        <v>Always one row per interval</v>
      </c>
      <c r="F213" s="19"/>
      <c r="G213" s="4">
        <f>IF(F213&gt;0,F213,IF(PrefetchDBSummary!$C$10="B",AJ213,8))</f>
        <v>8</v>
      </c>
      <c r="H213" s="4">
        <f>PrefetchDBSummary!$C$26</f>
        <v>0</v>
      </c>
      <c r="I213" s="4">
        <f>PrefetchDBSummary!$D$26</f>
        <v>0</v>
      </c>
      <c r="J213" s="5">
        <f t="shared" si="38"/>
        <v>0</v>
      </c>
      <c r="K213" s="4">
        <f t="shared" si="39"/>
        <v>0</v>
      </c>
      <c r="L213" s="4">
        <f t="shared" si="40"/>
        <v>0</v>
      </c>
      <c r="M213" s="5">
        <f t="shared" si="41"/>
        <v>0</v>
      </c>
      <c r="N213" s="17">
        <f t="shared" si="29"/>
        <v>0</v>
      </c>
      <c r="O213" s="32">
        <f t="shared" si="30"/>
        <v>0</v>
      </c>
      <c r="AG213" t="s">
        <v>466</v>
      </c>
      <c r="AH213" t="s">
        <v>582</v>
      </c>
      <c r="AI213">
        <v>8</v>
      </c>
      <c r="AJ213">
        <v>8</v>
      </c>
      <c r="AK213">
        <v>4</v>
      </c>
      <c r="AL213">
        <v>1</v>
      </c>
      <c r="AM213">
        <v>244</v>
      </c>
      <c r="AN213">
        <v>287</v>
      </c>
      <c r="AO213">
        <v>232</v>
      </c>
      <c r="AQ213" s="27">
        <f t="shared" si="49"/>
        <v>453.8</v>
      </c>
    </row>
    <row r="214" spans="1:43" ht="12.75">
      <c r="A214" s="18" t="s">
        <v>423</v>
      </c>
      <c r="B214" s="18" t="s">
        <v>580</v>
      </c>
      <c r="C214" t="s">
        <v>467</v>
      </c>
      <c r="D214" s="19">
        <v>1</v>
      </c>
      <c r="E214" s="7" t="str">
        <f>IF(AH214="S","Always one row per interval","")</f>
        <v>Always one row per interval</v>
      </c>
      <c r="F214" s="19"/>
      <c r="G214" s="4">
        <f>IF(F214&gt;0,F214,IF(PrefetchDBSummary!$C$10="B",AJ214,8))</f>
        <v>8</v>
      </c>
      <c r="H214" s="4">
        <f>PrefetchDBSummary!$C$26</f>
        <v>0</v>
      </c>
      <c r="I214" s="4">
        <f>PrefetchDBSummary!$D$26</f>
        <v>0</v>
      </c>
      <c r="J214" s="5">
        <f t="shared" si="38"/>
        <v>0</v>
      </c>
      <c r="K214" s="4">
        <f t="shared" si="39"/>
        <v>0</v>
      </c>
      <c r="L214" s="4">
        <f t="shared" si="40"/>
        <v>0</v>
      </c>
      <c r="M214" s="5">
        <f t="shared" si="41"/>
        <v>0</v>
      </c>
      <c r="N214" s="17">
        <f t="shared" si="29"/>
        <v>0</v>
      </c>
      <c r="O214" s="32">
        <f t="shared" si="30"/>
        <v>0</v>
      </c>
      <c r="AG214" t="s">
        <v>468</v>
      </c>
      <c r="AH214" t="s">
        <v>582</v>
      </c>
      <c r="AI214">
        <v>5</v>
      </c>
      <c r="AJ214">
        <v>8</v>
      </c>
      <c r="AK214">
        <v>5</v>
      </c>
      <c r="AL214">
        <v>0</v>
      </c>
      <c r="AM214">
        <v>437</v>
      </c>
      <c r="AN214">
        <v>437</v>
      </c>
      <c r="AO214">
        <v>432</v>
      </c>
      <c r="AQ214" s="27">
        <f t="shared" si="49"/>
        <v>545.8</v>
      </c>
    </row>
    <row r="215" spans="1:43" ht="12.75">
      <c r="A215" s="18" t="s">
        <v>423</v>
      </c>
      <c r="B215" s="18" t="s">
        <v>580</v>
      </c>
      <c r="C215" t="s">
        <v>1756</v>
      </c>
      <c r="D215" s="4">
        <f>PrefetchDBSummary!$E$26</f>
        <v>50</v>
      </c>
      <c r="E215" s="7" t="s">
        <v>744</v>
      </c>
      <c r="F215" s="19"/>
      <c r="G215" s="4">
        <f>IF(F215&gt;0,F215,IF(PrefetchDBSummary!$C$10="B",AJ215,8))</f>
        <v>8</v>
      </c>
      <c r="H215" s="4">
        <f>PrefetchDBSummary!$C$26</f>
        <v>0</v>
      </c>
      <c r="I215" s="4">
        <f>PrefetchDBSummary!$D$26</f>
        <v>0</v>
      </c>
      <c r="J215" s="5">
        <f t="shared" si="38"/>
        <v>0</v>
      </c>
      <c r="K215" s="4">
        <f t="shared" si="39"/>
        <v>0</v>
      </c>
      <c r="L215" s="4">
        <f t="shared" si="40"/>
        <v>0</v>
      </c>
      <c r="M215" s="5">
        <f t="shared" si="41"/>
        <v>0</v>
      </c>
      <c r="N215" s="17">
        <f t="shared" si="29"/>
        <v>0</v>
      </c>
      <c r="O215" s="32">
        <f t="shared" si="30"/>
        <v>0</v>
      </c>
      <c r="AG215" t="s">
        <v>1521</v>
      </c>
      <c r="AH215" t="s">
        <v>583</v>
      </c>
      <c r="AI215">
        <v>1</v>
      </c>
      <c r="AJ215">
        <v>32</v>
      </c>
      <c r="AK215">
        <v>9</v>
      </c>
      <c r="AL215">
        <v>3</v>
      </c>
      <c r="AM215">
        <v>845</v>
      </c>
      <c r="AN215">
        <v>970</v>
      </c>
      <c r="AO215">
        <v>800</v>
      </c>
      <c r="AQ215" s="27">
        <f t="shared" si="49"/>
        <v>19821</v>
      </c>
    </row>
    <row r="216" spans="1:43" ht="12.75">
      <c r="A216" s="18" t="s">
        <v>423</v>
      </c>
      <c r="B216" s="18" t="s">
        <v>580</v>
      </c>
      <c r="C216" t="s">
        <v>1757</v>
      </c>
      <c r="D216" s="4">
        <f>PrefetchDBSummary!$E$26</f>
        <v>50</v>
      </c>
      <c r="E216" s="7" t="s">
        <v>744</v>
      </c>
      <c r="F216" s="19"/>
      <c r="G216" s="4">
        <f>IF(F216&gt;0,F216,IF(PrefetchDBSummary!$C$10="B",AJ216,8))</f>
        <v>8</v>
      </c>
      <c r="H216" s="4">
        <f>PrefetchDBSummary!$C$26</f>
        <v>0</v>
      </c>
      <c r="I216" s="4">
        <f>PrefetchDBSummary!$D$26</f>
        <v>0</v>
      </c>
      <c r="J216" s="5">
        <f t="shared" si="38"/>
        <v>0</v>
      </c>
      <c r="K216" s="4">
        <f t="shared" si="39"/>
        <v>0</v>
      </c>
      <c r="L216" s="4">
        <f t="shared" si="40"/>
        <v>0</v>
      </c>
      <c r="M216" s="5">
        <f t="shared" si="41"/>
        <v>0</v>
      </c>
      <c r="N216" s="17">
        <f t="shared" si="29"/>
        <v>0</v>
      </c>
      <c r="O216" s="32">
        <f t="shared" si="30"/>
        <v>0</v>
      </c>
      <c r="AG216" t="s">
        <v>1522</v>
      </c>
      <c r="AH216" t="s">
        <v>583</v>
      </c>
      <c r="AI216">
        <v>5</v>
      </c>
      <c r="AJ216">
        <v>32</v>
      </c>
      <c r="AK216">
        <v>6</v>
      </c>
      <c r="AL216">
        <v>1</v>
      </c>
      <c r="AM216">
        <v>582</v>
      </c>
      <c r="AN216">
        <v>633</v>
      </c>
      <c r="AO216">
        <v>544</v>
      </c>
      <c r="AQ216" s="27">
        <f t="shared" si="49"/>
        <v>14294.000000000002</v>
      </c>
    </row>
    <row r="217" spans="1:43" ht="12.75">
      <c r="A217" s="18" t="s">
        <v>423</v>
      </c>
      <c r="B217" s="18" t="s">
        <v>580</v>
      </c>
      <c r="C217" t="s">
        <v>469</v>
      </c>
      <c r="D217" s="19">
        <v>1</v>
      </c>
      <c r="E217" s="7" t="s">
        <v>724</v>
      </c>
      <c r="F217" s="19"/>
      <c r="G217" s="4">
        <f>IF(F217&gt;0,F217,IF(PrefetchDBSummary!$C$10="B",AJ217,8))</f>
        <v>8</v>
      </c>
      <c r="H217" s="4">
        <f>PrefetchDBSummary!$C$26</f>
        <v>0</v>
      </c>
      <c r="I217" s="4">
        <f>PrefetchDBSummary!$D$26</f>
        <v>0</v>
      </c>
      <c r="J217" s="5">
        <f t="shared" si="38"/>
        <v>0</v>
      </c>
      <c r="K217" s="4">
        <f t="shared" si="39"/>
        <v>0</v>
      </c>
      <c r="L217" s="4">
        <f t="shared" si="40"/>
        <v>0</v>
      </c>
      <c r="M217" s="5">
        <f t="shared" si="41"/>
        <v>0</v>
      </c>
      <c r="N217" s="17">
        <f t="shared" si="29"/>
        <v>0</v>
      </c>
      <c r="O217" s="32">
        <f t="shared" si="30"/>
        <v>0</v>
      </c>
      <c r="AG217" t="s">
        <v>470</v>
      </c>
      <c r="AH217" t="s">
        <v>583</v>
      </c>
      <c r="AI217">
        <v>5</v>
      </c>
      <c r="AJ217">
        <v>8</v>
      </c>
      <c r="AK217">
        <v>14</v>
      </c>
      <c r="AL217">
        <v>1</v>
      </c>
      <c r="AM217">
        <v>810</v>
      </c>
      <c r="AN217">
        <v>849</v>
      </c>
      <c r="AO217">
        <v>744</v>
      </c>
      <c r="AQ217" s="27">
        <f t="shared" si="49"/>
        <v>902.6</v>
      </c>
    </row>
    <row r="218" spans="1:43" ht="12.75">
      <c r="A218" s="18" t="s">
        <v>423</v>
      </c>
      <c r="B218" s="18" t="s">
        <v>580</v>
      </c>
      <c r="C218" t="s">
        <v>471</v>
      </c>
      <c r="D218" s="19">
        <v>5</v>
      </c>
      <c r="E218" s="7" t="s">
        <v>745</v>
      </c>
      <c r="F218" s="19"/>
      <c r="G218" s="4">
        <f>IF(F218&gt;0,F218,IF(PrefetchDBSummary!$C$10="B",AJ218,8))</f>
        <v>8</v>
      </c>
      <c r="H218" s="4">
        <f>PrefetchDBSummary!$C$26</f>
        <v>0</v>
      </c>
      <c r="I218" s="4">
        <f>PrefetchDBSummary!$D$26</f>
        <v>0</v>
      </c>
      <c r="J218" s="5">
        <f t="shared" si="38"/>
        <v>0</v>
      </c>
      <c r="K218" s="4">
        <f t="shared" si="39"/>
        <v>0</v>
      </c>
      <c r="L218" s="4">
        <f t="shared" si="40"/>
        <v>0</v>
      </c>
      <c r="M218" s="5">
        <f t="shared" si="41"/>
        <v>0</v>
      </c>
      <c r="N218" s="17">
        <f t="shared" si="29"/>
        <v>0</v>
      </c>
      <c r="O218" s="32">
        <f t="shared" si="30"/>
        <v>0</v>
      </c>
      <c r="AG218" t="s">
        <v>472</v>
      </c>
      <c r="AH218" t="s">
        <v>583</v>
      </c>
      <c r="AI218">
        <v>1</v>
      </c>
      <c r="AJ218">
        <v>32</v>
      </c>
      <c r="AK218">
        <v>11</v>
      </c>
      <c r="AL218">
        <v>0</v>
      </c>
      <c r="AM218">
        <v>275</v>
      </c>
      <c r="AN218">
        <v>275</v>
      </c>
      <c r="AO218">
        <v>232</v>
      </c>
      <c r="AQ218" s="27">
        <f t="shared" si="49"/>
        <v>1253</v>
      </c>
    </row>
    <row r="219" spans="1:43" ht="12.75">
      <c r="A219" s="7" t="s">
        <v>2131</v>
      </c>
      <c r="B219" s="7" t="s">
        <v>2153</v>
      </c>
      <c r="C219" t="s">
        <v>2132</v>
      </c>
      <c r="D219" s="19">
        <v>2</v>
      </c>
      <c r="E219" s="7" t="s">
        <v>2146</v>
      </c>
      <c r="F219" s="19"/>
      <c r="G219" s="4">
        <f>IF(F219&gt;0,F219,IF(PrefetchDBSummary!$C$10="B",AJ219,8))</f>
        <v>8</v>
      </c>
      <c r="H219" s="4">
        <f>PrefetchDBSummary!$C$47</f>
        <v>0</v>
      </c>
      <c r="I219" s="4">
        <f>PrefetchDBSummary!$D$47</f>
        <v>0</v>
      </c>
      <c r="J219" s="5">
        <f aca="true" t="shared" si="50" ref="J219:J225">IF(H219&gt;0,(AQ219)/(AI219*60),IF(I219&gt;0,(AQ219)/(5*60),0))</f>
        <v>0</v>
      </c>
      <c r="K219" s="4">
        <f aca="true" t="shared" si="51" ref="K219:K225">IF(H219&gt;0,D219/AI219,IF(I219&gt;0,D219/5,0))</f>
        <v>0</v>
      </c>
      <c r="L219" s="4">
        <f aca="true" t="shared" si="52" ref="L219:L225">H219*D219/AI219+I219*D219/5</f>
        <v>0</v>
      </c>
      <c r="M219" s="5">
        <f aca="true" t="shared" si="53" ref="M219:M225">L219*AM219*(1-IF(AP219&gt;0,AP219,$AS$2)*$AS$3)/1024</f>
        <v>0</v>
      </c>
      <c r="N219" s="17">
        <f aca="true" t="shared" si="54" ref="N219:N225">L219*60*24*IF(G219&gt;0,G219,(G219))</f>
        <v>0</v>
      </c>
      <c r="O219" s="32">
        <f aca="true" t="shared" si="55" ref="O219:O225">N219*($AM219-$AO219*IF($AP219&gt;0,1-$AP219,1-$AS$2))*(1-$AS$3)/1024/1024</f>
        <v>0</v>
      </c>
      <c r="AG219" t="s">
        <v>2139</v>
      </c>
      <c r="AH219" t="s">
        <v>583</v>
      </c>
      <c r="AI219">
        <v>1</v>
      </c>
      <c r="AJ219">
        <v>32</v>
      </c>
      <c r="AK219">
        <v>4</v>
      </c>
      <c r="AL219">
        <v>2</v>
      </c>
      <c r="AM219">
        <v>76</v>
      </c>
      <c r="AN219">
        <v>178</v>
      </c>
      <c r="AO219">
        <v>32</v>
      </c>
      <c r="AQ219" s="27">
        <f aca="true" t="shared" si="56" ref="AQ219:AQ225">250+19*AK219+D219*(23+(AM219-AO219)+AO219*(1-IF(AP219&gt;0,AP219,$AS$2)))</f>
        <v>485.6</v>
      </c>
    </row>
    <row r="220" spans="1:43" ht="12.75">
      <c r="A220" s="7" t="s">
        <v>2131</v>
      </c>
      <c r="B220" s="7" t="s">
        <v>2153</v>
      </c>
      <c r="C220" t="s">
        <v>2133</v>
      </c>
      <c r="D220" s="19">
        <v>2</v>
      </c>
      <c r="E220" s="7" t="s">
        <v>2146</v>
      </c>
      <c r="F220" s="19"/>
      <c r="G220" s="4">
        <f>IF(F220&gt;0,F220,IF(PrefetchDBSummary!$C$10="B",AJ220,8))</f>
        <v>8</v>
      </c>
      <c r="H220" s="4">
        <f>PrefetchDBSummary!$C$47</f>
        <v>0</v>
      </c>
      <c r="I220" s="4">
        <f>PrefetchDBSummary!$D$47</f>
        <v>0</v>
      </c>
      <c r="J220" s="5">
        <f t="shared" si="50"/>
        <v>0</v>
      </c>
      <c r="K220" s="4">
        <f t="shared" si="51"/>
        <v>0</v>
      </c>
      <c r="L220" s="4">
        <f t="shared" si="52"/>
        <v>0</v>
      </c>
      <c r="M220" s="5">
        <f t="shared" si="53"/>
        <v>0</v>
      </c>
      <c r="N220" s="17">
        <f t="shared" si="54"/>
        <v>0</v>
      </c>
      <c r="O220" s="32">
        <f t="shared" si="55"/>
        <v>0</v>
      </c>
      <c r="AG220" t="s">
        <v>2140</v>
      </c>
      <c r="AH220" t="s">
        <v>583</v>
      </c>
      <c r="AI220">
        <v>1</v>
      </c>
      <c r="AJ220">
        <v>8</v>
      </c>
      <c r="AK220">
        <v>6</v>
      </c>
      <c r="AL220">
        <v>0</v>
      </c>
      <c r="AM220">
        <v>330</v>
      </c>
      <c r="AN220">
        <v>330</v>
      </c>
      <c r="AO220">
        <v>288</v>
      </c>
      <c r="AQ220" s="27">
        <f t="shared" si="56"/>
        <v>724.4</v>
      </c>
    </row>
    <row r="221" spans="1:43" ht="12.75">
      <c r="A221" s="7" t="s">
        <v>2131</v>
      </c>
      <c r="B221" s="7" t="s">
        <v>2153</v>
      </c>
      <c r="C221" t="s">
        <v>2134</v>
      </c>
      <c r="D221" s="19">
        <v>2</v>
      </c>
      <c r="E221" s="7" t="s">
        <v>2146</v>
      </c>
      <c r="F221" s="19"/>
      <c r="G221" s="4">
        <f>IF(F221&gt;0,F221,IF(PrefetchDBSummary!$C$10="B",AJ221,8))</f>
        <v>8</v>
      </c>
      <c r="H221" s="4">
        <f>PrefetchDBSummary!$C$47</f>
        <v>0</v>
      </c>
      <c r="I221" s="4">
        <f>PrefetchDBSummary!$D$47</f>
        <v>0</v>
      </c>
      <c r="J221" s="5">
        <f t="shared" si="50"/>
        <v>0</v>
      </c>
      <c r="K221" s="4">
        <f t="shared" si="51"/>
        <v>0</v>
      </c>
      <c r="L221" s="4">
        <f t="shared" si="52"/>
        <v>0</v>
      </c>
      <c r="M221" s="5">
        <f t="shared" si="53"/>
        <v>0</v>
      </c>
      <c r="N221" s="17">
        <f t="shared" si="54"/>
        <v>0</v>
      </c>
      <c r="O221" s="32">
        <f t="shared" si="55"/>
        <v>0</v>
      </c>
      <c r="AG221" t="s">
        <v>2141</v>
      </c>
      <c r="AH221" t="s">
        <v>583</v>
      </c>
      <c r="AI221">
        <v>1</v>
      </c>
      <c r="AJ221">
        <v>32</v>
      </c>
      <c r="AK221">
        <v>12</v>
      </c>
      <c r="AL221">
        <v>5</v>
      </c>
      <c r="AM221">
        <v>153</v>
      </c>
      <c r="AN221">
        <v>392</v>
      </c>
      <c r="AO221">
        <v>32</v>
      </c>
      <c r="AQ221" s="27">
        <f t="shared" si="56"/>
        <v>791.6</v>
      </c>
    </row>
    <row r="222" spans="1:43" ht="12.75">
      <c r="A222" s="7" t="s">
        <v>2131</v>
      </c>
      <c r="B222" s="7" t="s">
        <v>2153</v>
      </c>
      <c r="C222" t="s">
        <v>2135</v>
      </c>
      <c r="D222" s="19">
        <v>2</v>
      </c>
      <c r="E222" s="7" t="s">
        <v>2146</v>
      </c>
      <c r="F222" s="19"/>
      <c r="G222" s="4">
        <f>IF(F222&gt;0,F222,IF(PrefetchDBSummary!$C$10="B",AJ222,8))</f>
        <v>8</v>
      </c>
      <c r="H222" s="4">
        <f>PrefetchDBSummary!$C$47</f>
        <v>0</v>
      </c>
      <c r="I222" s="4">
        <f>PrefetchDBSummary!$D$47</f>
        <v>0</v>
      </c>
      <c r="J222" s="5">
        <f t="shared" si="50"/>
        <v>0</v>
      </c>
      <c r="K222" s="4">
        <f t="shared" si="51"/>
        <v>0</v>
      </c>
      <c r="L222" s="4">
        <f t="shared" si="52"/>
        <v>0</v>
      </c>
      <c r="M222" s="5">
        <f t="shared" si="53"/>
        <v>0</v>
      </c>
      <c r="N222" s="17">
        <f t="shared" si="54"/>
        <v>0</v>
      </c>
      <c r="O222" s="32">
        <f t="shared" si="55"/>
        <v>0</v>
      </c>
      <c r="AG222" t="s">
        <v>2142</v>
      </c>
      <c r="AH222" t="s">
        <v>583</v>
      </c>
      <c r="AI222">
        <v>1</v>
      </c>
      <c r="AJ222">
        <v>32</v>
      </c>
      <c r="AK222">
        <v>11</v>
      </c>
      <c r="AL222">
        <v>7</v>
      </c>
      <c r="AM222">
        <v>159</v>
      </c>
      <c r="AN222">
        <v>444</v>
      </c>
      <c r="AO222">
        <v>32</v>
      </c>
      <c r="AQ222" s="27">
        <f t="shared" si="56"/>
        <v>784.6</v>
      </c>
    </row>
    <row r="223" spans="1:43" ht="12.75">
      <c r="A223" s="7" t="s">
        <v>2131</v>
      </c>
      <c r="B223" s="7" t="s">
        <v>2153</v>
      </c>
      <c r="C223" t="s">
        <v>2136</v>
      </c>
      <c r="D223" s="19">
        <v>2</v>
      </c>
      <c r="E223" s="7" t="s">
        <v>2146</v>
      </c>
      <c r="F223" s="19"/>
      <c r="G223" s="4">
        <f>IF(F223&gt;0,F223,IF(PrefetchDBSummary!$C$10="B",AJ223,8))</f>
        <v>8</v>
      </c>
      <c r="H223" s="4">
        <f>PrefetchDBSummary!$C$47</f>
        <v>0</v>
      </c>
      <c r="I223" s="4">
        <f>PrefetchDBSummary!$D$47</f>
        <v>0</v>
      </c>
      <c r="J223" s="5">
        <f t="shared" si="50"/>
        <v>0</v>
      </c>
      <c r="K223" s="4">
        <f t="shared" si="51"/>
        <v>0</v>
      </c>
      <c r="L223" s="4">
        <f t="shared" si="52"/>
        <v>0</v>
      </c>
      <c r="M223" s="5">
        <f t="shared" si="53"/>
        <v>0</v>
      </c>
      <c r="N223" s="17">
        <f t="shared" si="54"/>
        <v>0</v>
      </c>
      <c r="O223" s="32">
        <f t="shared" si="55"/>
        <v>0</v>
      </c>
      <c r="AG223" t="s">
        <v>2143</v>
      </c>
      <c r="AH223" t="s">
        <v>583</v>
      </c>
      <c r="AI223">
        <v>1</v>
      </c>
      <c r="AJ223">
        <v>32</v>
      </c>
      <c r="AK223">
        <v>15</v>
      </c>
      <c r="AL223">
        <v>0</v>
      </c>
      <c r="AM223">
        <v>204</v>
      </c>
      <c r="AN223">
        <v>204</v>
      </c>
      <c r="AO223">
        <v>32</v>
      </c>
      <c r="AQ223" s="27">
        <f t="shared" si="56"/>
        <v>950.6</v>
      </c>
    </row>
    <row r="224" spans="1:43" ht="12.75">
      <c r="A224" s="7" t="s">
        <v>2131</v>
      </c>
      <c r="B224" s="7" t="s">
        <v>2153</v>
      </c>
      <c r="C224" t="s">
        <v>2137</v>
      </c>
      <c r="D224" s="19"/>
      <c r="E224" s="7"/>
      <c r="F224" s="19"/>
      <c r="G224" s="4">
        <f>IF(F224&gt;0,F224,IF(PrefetchDBSummary!$C$10="B",AJ224,8))</f>
        <v>8</v>
      </c>
      <c r="H224" s="4">
        <f>PrefetchDBSummary!$C$47</f>
        <v>0</v>
      </c>
      <c r="I224" s="4">
        <f>PrefetchDBSummary!$D$47</f>
        <v>0</v>
      </c>
      <c r="J224" s="5">
        <f t="shared" si="50"/>
        <v>0</v>
      </c>
      <c r="K224" s="4">
        <f t="shared" si="51"/>
        <v>0</v>
      </c>
      <c r="L224" s="4">
        <f t="shared" si="52"/>
        <v>0</v>
      </c>
      <c r="M224" s="5">
        <f t="shared" si="53"/>
        <v>0</v>
      </c>
      <c r="N224" s="17">
        <f t="shared" si="54"/>
        <v>0</v>
      </c>
      <c r="O224" s="32">
        <f t="shared" si="55"/>
        <v>0</v>
      </c>
      <c r="AG224" t="s">
        <v>2144</v>
      </c>
      <c r="AH224" t="s">
        <v>583</v>
      </c>
      <c r="AI224">
        <v>1</v>
      </c>
      <c r="AJ224">
        <v>32</v>
      </c>
      <c r="AK224">
        <v>11</v>
      </c>
      <c r="AL224">
        <v>1</v>
      </c>
      <c r="AM224">
        <v>443</v>
      </c>
      <c r="AN224">
        <v>494</v>
      </c>
      <c r="AO224">
        <v>352</v>
      </c>
      <c r="AQ224" s="27">
        <f t="shared" si="56"/>
        <v>459</v>
      </c>
    </row>
    <row r="225" spans="1:43" ht="12.75">
      <c r="A225" s="7" t="s">
        <v>2131</v>
      </c>
      <c r="B225" s="7" t="s">
        <v>2153</v>
      </c>
      <c r="C225" t="s">
        <v>2138</v>
      </c>
      <c r="D225" s="19"/>
      <c r="E225" s="7"/>
      <c r="F225" s="19"/>
      <c r="G225" s="4">
        <f>IF(F225&gt;0,F225,IF(PrefetchDBSummary!$C$10="B",AJ225,8))</f>
        <v>8</v>
      </c>
      <c r="H225" s="4">
        <f>PrefetchDBSummary!$C$47</f>
        <v>0</v>
      </c>
      <c r="I225" s="4">
        <f>PrefetchDBSummary!$D$47</f>
        <v>0</v>
      </c>
      <c r="J225" s="5">
        <f t="shared" si="50"/>
        <v>0</v>
      </c>
      <c r="K225" s="4">
        <f t="shared" si="51"/>
        <v>0</v>
      </c>
      <c r="L225" s="4">
        <f t="shared" si="52"/>
        <v>0</v>
      </c>
      <c r="M225" s="5">
        <f t="shared" si="53"/>
        <v>0</v>
      </c>
      <c r="N225" s="17">
        <f t="shared" si="54"/>
        <v>0</v>
      </c>
      <c r="O225" s="32">
        <f t="shared" si="55"/>
        <v>0</v>
      </c>
      <c r="AG225" t="s">
        <v>2145</v>
      </c>
      <c r="AH225" t="s">
        <v>583</v>
      </c>
      <c r="AI225">
        <v>1</v>
      </c>
      <c r="AJ225">
        <v>32</v>
      </c>
      <c r="AK225">
        <v>7</v>
      </c>
      <c r="AL225">
        <v>1</v>
      </c>
      <c r="AM225">
        <v>203</v>
      </c>
      <c r="AN225">
        <v>254</v>
      </c>
      <c r="AO225">
        <v>160</v>
      </c>
      <c r="AQ225" s="27">
        <f t="shared" si="56"/>
        <v>383</v>
      </c>
    </row>
    <row r="226" spans="1:43" ht="12.75">
      <c r="A226" s="18" t="s">
        <v>430</v>
      </c>
      <c r="B226" s="18" t="s">
        <v>337</v>
      </c>
      <c r="C226" t="s">
        <v>228</v>
      </c>
      <c r="D226" s="19">
        <v>1</v>
      </c>
      <c r="E226" s="7" t="s">
        <v>746</v>
      </c>
      <c r="F226" s="19"/>
      <c r="G226" s="4">
        <f>IF(F226&gt;0,F226,IF(PrefetchDBSummary!$C$10="B",AJ226,8))</f>
        <v>8</v>
      </c>
      <c r="H226" s="4">
        <f>PrefetchDBSummary!$C$39</f>
        <v>0</v>
      </c>
      <c r="I226" s="4">
        <f>PrefetchDBSummary!$D$39</f>
        <v>0</v>
      </c>
      <c r="J226" s="5">
        <f t="shared" si="38"/>
        <v>0</v>
      </c>
      <c r="K226" s="4">
        <f t="shared" si="39"/>
        <v>0</v>
      </c>
      <c r="L226" s="4">
        <f t="shared" si="40"/>
        <v>0</v>
      </c>
      <c r="M226" s="5">
        <f t="shared" si="41"/>
        <v>0</v>
      </c>
      <c r="N226" s="17">
        <f t="shared" si="29"/>
        <v>0</v>
      </c>
      <c r="O226" s="32">
        <f t="shared" si="30"/>
        <v>0</v>
      </c>
      <c r="AG226" t="s">
        <v>328</v>
      </c>
      <c r="AH226" t="s">
        <v>583</v>
      </c>
      <c r="AI226">
        <v>5</v>
      </c>
      <c r="AJ226">
        <v>8</v>
      </c>
      <c r="AK226">
        <v>7</v>
      </c>
      <c r="AL226">
        <v>4</v>
      </c>
      <c r="AM226">
        <v>283</v>
      </c>
      <c r="AN226">
        <v>475</v>
      </c>
      <c r="AO226">
        <v>224</v>
      </c>
      <c r="AP226" s="44">
        <v>0.7745535714285714</v>
      </c>
      <c r="AQ226" s="27">
        <f t="shared" si="49"/>
        <v>515.5</v>
      </c>
    </row>
    <row r="227" spans="1:43" ht="12.75">
      <c r="A227" s="18" t="s">
        <v>430</v>
      </c>
      <c r="B227" s="18" t="s">
        <v>337</v>
      </c>
      <c r="C227" t="s">
        <v>229</v>
      </c>
      <c r="D227" s="19">
        <v>1</v>
      </c>
      <c r="E227" s="7" t="s">
        <v>710</v>
      </c>
      <c r="F227" s="19"/>
      <c r="G227" s="4">
        <f>IF(F227&gt;0,F227,IF(PrefetchDBSummary!$C$10="B",AJ227,8))</f>
        <v>8</v>
      </c>
      <c r="H227" s="4">
        <f>PrefetchDBSummary!$C$39</f>
        <v>0</v>
      </c>
      <c r="I227" s="4">
        <f>PrefetchDBSummary!$D$39</f>
        <v>0</v>
      </c>
      <c r="J227" s="5">
        <f t="shared" si="38"/>
        <v>0</v>
      </c>
      <c r="K227" s="4">
        <f t="shared" si="39"/>
        <v>0</v>
      </c>
      <c r="L227" s="4">
        <f t="shared" si="40"/>
        <v>0</v>
      </c>
      <c r="M227" s="5">
        <f t="shared" si="41"/>
        <v>0</v>
      </c>
      <c r="N227" s="17">
        <f t="shared" si="29"/>
        <v>0</v>
      </c>
      <c r="O227" s="32">
        <f t="shared" si="30"/>
        <v>0</v>
      </c>
      <c r="AG227" t="s">
        <v>329</v>
      </c>
      <c r="AH227" t="s">
        <v>582</v>
      </c>
      <c r="AI227">
        <v>1</v>
      </c>
      <c r="AJ227">
        <v>8</v>
      </c>
      <c r="AK227">
        <v>2</v>
      </c>
      <c r="AL227">
        <v>1</v>
      </c>
      <c r="AM227">
        <v>38</v>
      </c>
      <c r="AN227">
        <v>77</v>
      </c>
      <c r="AO227">
        <v>32</v>
      </c>
      <c r="AP227" s="44">
        <v>0</v>
      </c>
      <c r="AQ227" s="27">
        <f t="shared" si="49"/>
        <v>329.8</v>
      </c>
    </row>
    <row r="228" spans="1:43" ht="12.75">
      <c r="A228" s="18" t="s">
        <v>430</v>
      </c>
      <c r="B228" s="18" t="s">
        <v>337</v>
      </c>
      <c r="C228" t="s">
        <v>1395</v>
      </c>
      <c r="D228" s="19">
        <v>1</v>
      </c>
      <c r="E228" s="7" t="s">
        <v>710</v>
      </c>
      <c r="F228" s="19"/>
      <c r="G228" s="4">
        <f>IF(F228&gt;0,F228,IF(PrefetchDBSummary!$C$10="B",AJ228,8))</f>
        <v>8</v>
      </c>
      <c r="H228" s="4">
        <f>PrefetchDBSummary!$C$39</f>
        <v>0</v>
      </c>
      <c r="I228" s="4">
        <f>PrefetchDBSummary!$D$39</f>
        <v>0</v>
      </c>
      <c r="J228" s="5">
        <f t="shared" si="38"/>
        <v>0</v>
      </c>
      <c r="K228" s="4">
        <f t="shared" si="39"/>
        <v>0</v>
      </c>
      <c r="L228" s="4">
        <f t="shared" si="40"/>
        <v>0</v>
      </c>
      <c r="M228" s="5">
        <f t="shared" si="41"/>
        <v>0</v>
      </c>
      <c r="N228" s="17">
        <f t="shared" si="29"/>
        <v>0</v>
      </c>
      <c r="O228" s="32">
        <f t="shared" si="30"/>
        <v>0</v>
      </c>
      <c r="AG228" t="s">
        <v>1399</v>
      </c>
      <c r="AH228" t="s">
        <v>583</v>
      </c>
      <c r="AI228">
        <v>1</v>
      </c>
      <c r="AJ228">
        <v>15</v>
      </c>
      <c r="AK228">
        <v>6</v>
      </c>
      <c r="AL228">
        <v>3</v>
      </c>
      <c r="AM228">
        <v>190</v>
      </c>
      <c r="AN228">
        <v>319</v>
      </c>
      <c r="AO228">
        <v>160</v>
      </c>
      <c r="AP228" s="44">
        <v>0</v>
      </c>
      <c r="AQ228" s="27">
        <f t="shared" si="49"/>
        <v>481</v>
      </c>
    </row>
    <row r="229" spans="1:43" ht="12.75">
      <c r="A229" s="18" t="s">
        <v>430</v>
      </c>
      <c r="B229" s="18" t="s">
        <v>337</v>
      </c>
      <c r="C229" t="s">
        <v>230</v>
      </c>
      <c r="D229" s="19">
        <v>1</v>
      </c>
      <c r="E229" s="7" t="s">
        <v>728</v>
      </c>
      <c r="F229" s="19"/>
      <c r="G229" s="4">
        <f>IF(F229&gt;0,F229,IF(PrefetchDBSummary!$C$10="B",AJ229,8))</f>
        <v>8</v>
      </c>
      <c r="H229" s="4">
        <f>PrefetchDBSummary!$C$39</f>
        <v>0</v>
      </c>
      <c r="I229" s="4">
        <f>PrefetchDBSummary!$D$39</f>
        <v>0</v>
      </c>
      <c r="J229" s="5">
        <f t="shared" si="38"/>
        <v>0</v>
      </c>
      <c r="K229" s="4">
        <f t="shared" si="39"/>
        <v>0</v>
      </c>
      <c r="L229" s="4">
        <f t="shared" si="40"/>
        <v>0</v>
      </c>
      <c r="M229" s="5">
        <f t="shared" si="41"/>
        <v>0</v>
      </c>
      <c r="N229" s="17">
        <f t="shared" si="29"/>
        <v>0</v>
      </c>
      <c r="O229" s="32">
        <f t="shared" si="30"/>
        <v>0</v>
      </c>
      <c r="AG229" t="s">
        <v>330</v>
      </c>
      <c r="AH229" t="s">
        <v>583</v>
      </c>
      <c r="AI229">
        <v>1</v>
      </c>
      <c r="AJ229">
        <v>32</v>
      </c>
      <c r="AK229">
        <v>3</v>
      </c>
      <c r="AL229">
        <v>1</v>
      </c>
      <c r="AM229">
        <v>103</v>
      </c>
      <c r="AN229">
        <v>142</v>
      </c>
      <c r="AO229">
        <v>96</v>
      </c>
      <c r="AP229" s="44">
        <v>0.36458333333333337</v>
      </c>
      <c r="AQ229" s="27">
        <f t="shared" si="49"/>
        <v>398</v>
      </c>
    </row>
    <row r="230" spans="1:43" ht="12.75">
      <c r="A230" s="18" t="s">
        <v>430</v>
      </c>
      <c r="B230" s="18" t="s">
        <v>337</v>
      </c>
      <c r="C230" t="s">
        <v>231</v>
      </c>
      <c r="D230" s="19">
        <v>1</v>
      </c>
      <c r="E230" s="7" t="s">
        <v>728</v>
      </c>
      <c r="F230" s="19"/>
      <c r="G230" s="4">
        <f>IF(F230&gt;0,F230,IF(PrefetchDBSummary!$C$10="B",AJ230,8))</f>
        <v>8</v>
      </c>
      <c r="H230" s="4">
        <f>PrefetchDBSummary!$C$39</f>
        <v>0</v>
      </c>
      <c r="I230" s="4">
        <f>PrefetchDBSummary!$D$39</f>
        <v>0</v>
      </c>
      <c r="J230" s="5">
        <f t="shared" si="38"/>
        <v>0</v>
      </c>
      <c r="K230" s="4">
        <f t="shared" si="39"/>
        <v>0</v>
      </c>
      <c r="L230" s="4">
        <f t="shared" si="40"/>
        <v>0</v>
      </c>
      <c r="M230" s="5">
        <f t="shared" si="41"/>
        <v>0</v>
      </c>
      <c r="N230" s="17">
        <f t="shared" si="29"/>
        <v>0</v>
      </c>
      <c r="O230" s="32">
        <f t="shared" si="30"/>
        <v>0</v>
      </c>
      <c r="AG230" t="s">
        <v>331</v>
      </c>
      <c r="AH230" t="s">
        <v>583</v>
      </c>
      <c r="AI230">
        <v>1</v>
      </c>
      <c r="AJ230">
        <v>32</v>
      </c>
      <c r="AK230">
        <v>3</v>
      </c>
      <c r="AL230">
        <v>1</v>
      </c>
      <c r="AM230">
        <v>103</v>
      </c>
      <c r="AN230">
        <v>142</v>
      </c>
      <c r="AO230">
        <v>96</v>
      </c>
      <c r="AP230" s="44">
        <v>0.34375</v>
      </c>
      <c r="AQ230" s="27">
        <f t="shared" si="49"/>
        <v>400</v>
      </c>
    </row>
    <row r="231" spans="1:43" ht="12.75">
      <c r="A231" s="18" t="s">
        <v>430</v>
      </c>
      <c r="B231" s="18" t="s">
        <v>337</v>
      </c>
      <c r="C231" t="s">
        <v>1396</v>
      </c>
      <c r="D231" s="19">
        <v>1</v>
      </c>
      <c r="E231" s="7" t="s">
        <v>710</v>
      </c>
      <c r="F231" s="19"/>
      <c r="G231" s="4">
        <f>IF(F231&gt;0,F231,IF(PrefetchDBSummary!$C$10="B",AJ231,8))</f>
        <v>8</v>
      </c>
      <c r="H231" s="4">
        <f>PrefetchDBSummary!$C$39</f>
        <v>0</v>
      </c>
      <c r="I231" s="4">
        <f>PrefetchDBSummary!$D$39</f>
        <v>0</v>
      </c>
      <c r="J231" s="5">
        <f t="shared" si="38"/>
        <v>0</v>
      </c>
      <c r="K231" s="4">
        <f t="shared" si="39"/>
        <v>0</v>
      </c>
      <c r="L231" s="4">
        <f t="shared" si="40"/>
        <v>0</v>
      </c>
      <c r="M231" s="5">
        <f t="shared" si="41"/>
        <v>0</v>
      </c>
      <c r="N231" s="17">
        <f t="shared" si="29"/>
        <v>0</v>
      </c>
      <c r="O231" s="32">
        <f t="shared" si="30"/>
        <v>0</v>
      </c>
      <c r="AG231" t="s">
        <v>1400</v>
      </c>
      <c r="AH231" t="s">
        <v>583</v>
      </c>
      <c r="AI231">
        <v>5</v>
      </c>
      <c r="AJ231">
        <v>32</v>
      </c>
      <c r="AK231">
        <v>14</v>
      </c>
      <c r="AL231">
        <v>11</v>
      </c>
      <c r="AM231">
        <v>206</v>
      </c>
      <c r="AN231">
        <v>671</v>
      </c>
      <c r="AO231">
        <v>96</v>
      </c>
      <c r="AP231" s="44">
        <v>0.34375</v>
      </c>
      <c r="AQ231" s="27">
        <f t="shared" si="49"/>
        <v>712</v>
      </c>
    </row>
    <row r="232" spans="1:43" ht="12.75">
      <c r="A232" s="18" t="s">
        <v>430</v>
      </c>
      <c r="B232" s="18" t="s">
        <v>337</v>
      </c>
      <c r="C232" t="s">
        <v>173</v>
      </c>
      <c r="D232" s="19">
        <v>12</v>
      </c>
      <c r="E232" s="7" t="s">
        <v>750</v>
      </c>
      <c r="F232" s="19"/>
      <c r="G232" s="4">
        <f>IF(F232&gt;0,F232,IF(PrefetchDBSummary!$C$10="B",AJ232,8))</f>
        <v>8</v>
      </c>
      <c r="H232" s="4">
        <f>PrefetchDBSummary!$C$39</f>
        <v>0</v>
      </c>
      <c r="I232" s="4">
        <f>PrefetchDBSummary!$D$39</f>
        <v>0</v>
      </c>
      <c r="J232" s="5">
        <f t="shared" si="38"/>
        <v>0</v>
      </c>
      <c r="K232" s="4">
        <f t="shared" si="39"/>
        <v>0</v>
      </c>
      <c r="L232" s="4">
        <f t="shared" si="40"/>
        <v>0</v>
      </c>
      <c r="M232" s="5">
        <f t="shared" si="41"/>
        <v>0</v>
      </c>
      <c r="N232" s="17">
        <f aca="true" t="shared" si="57" ref="N232:N302">L232*60*24*IF(G232&gt;0,G232,(G232))</f>
        <v>0</v>
      </c>
      <c r="O232" s="32">
        <f aca="true" t="shared" si="58" ref="O232:O302">N232*($AM232-$AO232*IF($AP232&gt;0,1-$AP232,1-$AS$2))*(1-$AS$3)/1024/1024</f>
        <v>0</v>
      </c>
      <c r="AG232" t="s">
        <v>174</v>
      </c>
      <c r="AH232" t="s">
        <v>583</v>
      </c>
      <c r="AI232">
        <v>1</v>
      </c>
      <c r="AJ232">
        <v>15</v>
      </c>
      <c r="AK232">
        <v>12</v>
      </c>
      <c r="AL232">
        <v>8</v>
      </c>
      <c r="AM232">
        <v>244</v>
      </c>
      <c r="AN232">
        <v>580</v>
      </c>
      <c r="AO232">
        <v>160</v>
      </c>
      <c r="AP232" s="44">
        <v>0.7393229166666667</v>
      </c>
      <c r="AQ232" s="27">
        <f t="shared" si="49"/>
        <v>2262.5</v>
      </c>
    </row>
    <row r="233" spans="1:43" ht="12.75">
      <c r="A233" s="18" t="s">
        <v>430</v>
      </c>
      <c r="B233" s="18" t="s">
        <v>337</v>
      </c>
      <c r="C233" t="s">
        <v>175</v>
      </c>
      <c r="D233" s="19">
        <v>7</v>
      </c>
      <c r="E233" s="7" t="s">
        <v>749</v>
      </c>
      <c r="F233" s="19"/>
      <c r="G233" s="4">
        <f>IF(F233&gt;0,F233,IF(PrefetchDBSummary!$C$10="B",AJ233,8))</f>
        <v>8</v>
      </c>
      <c r="H233" s="4">
        <f>PrefetchDBSummary!$C$39</f>
        <v>0</v>
      </c>
      <c r="I233" s="4">
        <f>PrefetchDBSummary!$D$39</f>
        <v>0</v>
      </c>
      <c r="J233" s="5">
        <f t="shared" si="38"/>
        <v>0</v>
      </c>
      <c r="K233" s="4">
        <f t="shared" si="39"/>
        <v>0</v>
      </c>
      <c r="L233" s="4">
        <f t="shared" si="40"/>
        <v>0</v>
      </c>
      <c r="M233" s="5">
        <f t="shared" si="41"/>
        <v>0</v>
      </c>
      <c r="N233" s="17">
        <f t="shared" si="57"/>
        <v>0</v>
      </c>
      <c r="O233" s="32">
        <f t="shared" si="58"/>
        <v>0</v>
      </c>
      <c r="AG233" t="s">
        <v>176</v>
      </c>
      <c r="AH233" t="s">
        <v>583</v>
      </c>
      <c r="AI233">
        <v>1</v>
      </c>
      <c r="AJ233">
        <v>15</v>
      </c>
      <c r="AK233">
        <v>28</v>
      </c>
      <c r="AL233">
        <v>23</v>
      </c>
      <c r="AM233">
        <v>320</v>
      </c>
      <c r="AN233">
        <v>1237</v>
      </c>
      <c r="AO233">
        <v>160</v>
      </c>
      <c r="AP233" s="44">
        <v>0.40029761904761896</v>
      </c>
      <c r="AQ233" s="27">
        <f t="shared" si="49"/>
        <v>2734.666666666667</v>
      </c>
    </row>
    <row r="234" spans="1:43" ht="12.75">
      <c r="A234" s="18" t="s">
        <v>430</v>
      </c>
      <c r="B234" s="18" t="s">
        <v>337</v>
      </c>
      <c r="C234" t="s">
        <v>232</v>
      </c>
      <c r="D234" s="19">
        <v>4</v>
      </c>
      <c r="E234" s="7" t="s">
        <v>748</v>
      </c>
      <c r="F234" s="19"/>
      <c r="G234" s="4">
        <f>IF(F234&gt;0,F234,IF(PrefetchDBSummary!$C$10="B",AJ234,8))</f>
        <v>8</v>
      </c>
      <c r="H234" s="4">
        <f>PrefetchDBSummary!$C$39</f>
        <v>0</v>
      </c>
      <c r="I234" s="4">
        <f>PrefetchDBSummary!$D$39</f>
        <v>0</v>
      </c>
      <c r="J234" s="5">
        <f t="shared" si="38"/>
        <v>0</v>
      </c>
      <c r="K234" s="4">
        <f t="shared" si="39"/>
        <v>0</v>
      </c>
      <c r="L234" s="4">
        <f t="shared" si="40"/>
        <v>0</v>
      </c>
      <c r="M234" s="5">
        <f t="shared" si="41"/>
        <v>0</v>
      </c>
      <c r="N234" s="17">
        <f t="shared" si="57"/>
        <v>0</v>
      </c>
      <c r="O234" s="32">
        <f t="shared" si="58"/>
        <v>0</v>
      </c>
      <c r="AG234" t="s">
        <v>332</v>
      </c>
      <c r="AH234" t="s">
        <v>583</v>
      </c>
      <c r="AI234">
        <v>1</v>
      </c>
      <c r="AJ234">
        <v>32</v>
      </c>
      <c r="AK234">
        <v>14</v>
      </c>
      <c r="AL234">
        <v>12</v>
      </c>
      <c r="AM234">
        <v>246</v>
      </c>
      <c r="AN234">
        <v>762</v>
      </c>
      <c r="AO234">
        <v>96</v>
      </c>
      <c r="AP234" s="44">
        <v>1</v>
      </c>
      <c r="AQ234" s="27">
        <f t="shared" si="49"/>
        <v>1208</v>
      </c>
    </row>
    <row r="235" spans="1:43" ht="12.75">
      <c r="A235" s="18" t="s">
        <v>430</v>
      </c>
      <c r="B235" s="18" t="s">
        <v>337</v>
      </c>
      <c r="C235" t="s">
        <v>233</v>
      </c>
      <c r="D235" s="19">
        <v>3</v>
      </c>
      <c r="E235" s="7" t="s">
        <v>748</v>
      </c>
      <c r="F235" s="19"/>
      <c r="G235" s="4">
        <f>IF(F235&gt;0,F235,IF(PrefetchDBSummary!$C$10="B",AJ235,8))</f>
        <v>8</v>
      </c>
      <c r="H235" s="4">
        <f>PrefetchDBSummary!$C$39</f>
        <v>0</v>
      </c>
      <c r="I235" s="4">
        <f>PrefetchDBSummary!$D$39</f>
        <v>0</v>
      </c>
      <c r="J235" s="5">
        <f t="shared" si="38"/>
        <v>0</v>
      </c>
      <c r="K235" s="4">
        <f t="shared" si="39"/>
        <v>0</v>
      </c>
      <c r="L235" s="4">
        <f t="shared" si="40"/>
        <v>0</v>
      </c>
      <c r="M235" s="5">
        <f t="shared" si="41"/>
        <v>0</v>
      </c>
      <c r="N235" s="17">
        <f t="shared" si="57"/>
        <v>0</v>
      </c>
      <c r="O235" s="32">
        <f t="shared" si="58"/>
        <v>0</v>
      </c>
      <c r="AG235" t="s">
        <v>333</v>
      </c>
      <c r="AH235" t="s">
        <v>583</v>
      </c>
      <c r="AI235">
        <v>1</v>
      </c>
      <c r="AJ235">
        <v>15</v>
      </c>
      <c r="AK235">
        <v>17</v>
      </c>
      <c r="AL235">
        <v>8</v>
      </c>
      <c r="AM235">
        <v>485</v>
      </c>
      <c r="AN235">
        <v>797</v>
      </c>
      <c r="AO235">
        <v>416</v>
      </c>
      <c r="AP235" s="44">
        <v>0.6510416666666667</v>
      </c>
      <c r="AQ235" s="27">
        <f t="shared" si="49"/>
        <v>1284.5</v>
      </c>
    </row>
    <row r="236" spans="1:43" ht="12.75">
      <c r="A236" s="18" t="s">
        <v>430</v>
      </c>
      <c r="B236" s="18" t="s">
        <v>337</v>
      </c>
      <c r="C236" t="s">
        <v>1397</v>
      </c>
      <c r="D236" s="19">
        <v>1</v>
      </c>
      <c r="E236" s="7" t="s">
        <v>710</v>
      </c>
      <c r="F236" s="19"/>
      <c r="G236" s="4">
        <f>IF(F236&gt;0,F236,IF(PrefetchDBSummary!$C$10="B",AJ236,8))</f>
        <v>8</v>
      </c>
      <c r="H236" s="4">
        <f>PrefetchDBSummary!$C$39</f>
        <v>0</v>
      </c>
      <c r="I236" s="4">
        <f>PrefetchDBSummary!$D$39</f>
        <v>0</v>
      </c>
      <c r="J236" s="5">
        <f t="shared" si="38"/>
        <v>0</v>
      </c>
      <c r="K236" s="4">
        <f t="shared" si="39"/>
        <v>0</v>
      </c>
      <c r="L236" s="4">
        <f t="shared" si="40"/>
        <v>0</v>
      </c>
      <c r="M236" s="5">
        <f t="shared" si="41"/>
        <v>0</v>
      </c>
      <c r="N236" s="17">
        <f t="shared" si="57"/>
        <v>0</v>
      </c>
      <c r="O236" s="32">
        <f t="shared" si="58"/>
        <v>0</v>
      </c>
      <c r="AG236" t="s">
        <v>1401</v>
      </c>
      <c r="AH236" t="s">
        <v>583</v>
      </c>
      <c r="AI236">
        <v>1</v>
      </c>
      <c r="AJ236">
        <v>15</v>
      </c>
      <c r="AK236">
        <v>9</v>
      </c>
      <c r="AL236">
        <v>5</v>
      </c>
      <c r="AM236">
        <v>225</v>
      </c>
      <c r="AN236">
        <v>440</v>
      </c>
      <c r="AO236">
        <v>160</v>
      </c>
      <c r="AP236" s="44">
        <v>0.6510416666666667</v>
      </c>
      <c r="AQ236" s="27">
        <f t="shared" si="49"/>
        <v>564.8333333333333</v>
      </c>
    </row>
    <row r="237" spans="1:43" ht="12.75">
      <c r="A237" s="18" t="s">
        <v>430</v>
      </c>
      <c r="B237" s="18" t="s">
        <v>337</v>
      </c>
      <c r="C237" t="s">
        <v>234</v>
      </c>
      <c r="D237" s="19">
        <v>4</v>
      </c>
      <c r="E237" s="7" t="s">
        <v>751</v>
      </c>
      <c r="F237" s="19"/>
      <c r="G237" s="4">
        <f>IF(F237&gt;0,F237,IF(PrefetchDBSummary!$C$10="B",AJ237,8))</f>
        <v>8</v>
      </c>
      <c r="H237" s="4">
        <f>PrefetchDBSummary!$C$39</f>
        <v>0</v>
      </c>
      <c r="I237" s="4">
        <f>PrefetchDBSummary!$D$39</f>
        <v>0</v>
      </c>
      <c r="J237" s="5">
        <f t="shared" si="38"/>
        <v>0</v>
      </c>
      <c r="K237" s="4">
        <f t="shared" si="39"/>
        <v>0</v>
      </c>
      <c r="L237" s="4">
        <f t="shared" si="40"/>
        <v>0</v>
      </c>
      <c r="M237" s="5">
        <f t="shared" si="41"/>
        <v>0</v>
      </c>
      <c r="N237" s="17">
        <f t="shared" si="57"/>
        <v>0</v>
      </c>
      <c r="O237" s="32">
        <f t="shared" si="58"/>
        <v>0</v>
      </c>
      <c r="AG237" t="s">
        <v>334</v>
      </c>
      <c r="AH237" t="s">
        <v>583</v>
      </c>
      <c r="AI237">
        <v>1</v>
      </c>
      <c r="AJ237">
        <v>8</v>
      </c>
      <c r="AK237">
        <v>6</v>
      </c>
      <c r="AL237">
        <v>1</v>
      </c>
      <c r="AM237">
        <v>758</v>
      </c>
      <c r="AN237">
        <v>809</v>
      </c>
      <c r="AO237">
        <v>736</v>
      </c>
      <c r="AP237" s="44">
        <v>0.8935688405797102</v>
      </c>
      <c r="AQ237" s="27">
        <f t="shared" si="49"/>
        <v>857.3333333333331</v>
      </c>
    </row>
    <row r="238" spans="1:43" ht="12.75">
      <c r="A238" s="18" t="s">
        <v>430</v>
      </c>
      <c r="B238" s="18" t="s">
        <v>337</v>
      </c>
      <c r="C238" t="s">
        <v>235</v>
      </c>
      <c r="D238" s="19">
        <v>1</v>
      </c>
      <c r="E238" s="7" t="str">
        <f>IF(AH238="S","Always one row per interval","")</f>
        <v>Always one row per interval</v>
      </c>
      <c r="F238" s="19"/>
      <c r="G238" s="4">
        <f>IF(F238&gt;0,F238,IF(PrefetchDBSummary!$C$10="B",AJ238,8))</f>
        <v>8</v>
      </c>
      <c r="H238" s="4">
        <f>PrefetchDBSummary!$C$39</f>
        <v>0</v>
      </c>
      <c r="I238" s="4">
        <f>PrefetchDBSummary!$D$39</f>
        <v>0</v>
      </c>
      <c r="J238" s="5">
        <f t="shared" si="38"/>
        <v>0</v>
      </c>
      <c r="K238" s="4">
        <f t="shared" si="39"/>
        <v>0</v>
      </c>
      <c r="L238" s="4">
        <f t="shared" si="40"/>
        <v>0</v>
      </c>
      <c r="M238" s="5">
        <f t="shared" si="41"/>
        <v>0</v>
      </c>
      <c r="N238" s="17">
        <f t="shared" si="57"/>
        <v>0</v>
      </c>
      <c r="O238" s="32">
        <f t="shared" si="58"/>
        <v>0</v>
      </c>
      <c r="AG238" t="s">
        <v>335</v>
      </c>
      <c r="AH238" t="s">
        <v>582</v>
      </c>
      <c r="AI238">
        <v>60</v>
      </c>
      <c r="AJ238">
        <v>8</v>
      </c>
      <c r="AK238">
        <v>4</v>
      </c>
      <c r="AL238">
        <v>1</v>
      </c>
      <c r="AM238">
        <v>168</v>
      </c>
      <c r="AN238">
        <v>207</v>
      </c>
      <c r="AO238">
        <v>160</v>
      </c>
      <c r="AP238" s="44">
        <v>0.6375</v>
      </c>
      <c r="AQ238" s="27">
        <f t="shared" si="49"/>
        <v>415</v>
      </c>
    </row>
    <row r="239" spans="1:43" ht="12.75">
      <c r="A239" s="18" t="s">
        <v>430</v>
      </c>
      <c r="B239" s="18" t="s">
        <v>337</v>
      </c>
      <c r="C239" t="s">
        <v>236</v>
      </c>
      <c r="D239" s="19">
        <v>4</v>
      </c>
      <c r="E239" s="7" t="s">
        <v>751</v>
      </c>
      <c r="F239" s="19"/>
      <c r="G239" s="4">
        <f>IF(F239&gt;0,F239,IF(PrefetchDBSummary!$C$10="B",AJ239,8))</f>
        <v>8</v>
      </c>
      <c r="H239" s="4">
        <f>PrefetchDBSummary!$C$39</f>
        <v>0</v>
      </c>
      <c r="I239" s="4">
        <f>PrefetchDBSummary!$D$39</f>
        <v>0</v>
      </c>
      <c r="J239" s="5">
        <f t="shared" si="38"/>
        <v>0</v>
      </c>
      <c r="K239" s="4">
        <f t="shared" si="39"/>
        <v>0</v>
      </c>
      <c r="L239" s="4">
        <f t="shared" si="40"/>
        <v>0</v>
      </c>
      <c r="M239" s="5">
        <f t="shared" si="41"/>
        <v>0</v>
      </c>
      <c r="N239" s="17">
        <f t="shared" si="57"/>
        <v>0</v>
      </c>
      <c r="O239" s="32">
        <f t="shared" si="58"/>
        <v>0</v>
      </c>
      <c r="AG239" t="s">
        <v>336</v>
      </c>
      <c r="AH239" t="s">
        <v>583</v>
      </c>
      <c r="AI239">
        <v>1</v>
      </c>
      <c r="AJ239">
        <v>8</v>
      </c>
      <c r="AK239">
        <v>6</v>
      </c>
      <c r="AL239">
        <v>1</v>
      </c>
      <c r="AM239">
        <v>758</v>
      </c>
      <c r="AN239">
        <v>809</v>
      </c>
      <c r="AO239">
        <v>736</v>
      </c>
      <c r="AP239" s="44">
        <v>0.894927536231884</v>
      </c>
      <c r="AQ239" s="27">
        <f t="shared" si="49"/>
        <v>853.3333333333334</v>
      </c>
    </row>
    <row r="240" spans="1:43" ht="12.75">
      <c r="A240" s="18" t="s">
        <v>430</v>
      </c>
      <c r="B240" s="18" t="s">
        <v>337</v>
      </c>
      <c r="C240" t="s">
        <v>1398</v>
      </c>
      <c r="D240" s="19">
        <v>1</v>
      </c>
      <c r="E240" s="7" t="s">
        <v>710</v>
      </c>
      <c r="F240" s="19"/>
      <c r="G240" s="4">
        <f>IF(F240&gt;0,F240,IF(PrefetchDBSummary!$C$10="B",AJ240,8))</f>
        <v>8</v>
      </c>
      <c r="H240" s="4">
        <f>PrefetchDBSummary!$C$39</f>
        <v>0</v>
      </c>
      <c r="I240" s="4">
        <f>PrefetchDBSummary!$D$39</f>
        <v>0</v>
      </c>
      <c r="J240" s="5">
        <f t="shared" si="38"/>
        <v>0</v>
      </c>
      <c r="K240" s="4">
        <f t="shared" si="39"/>
        <v>0</v>
      </c>
      <c r="L240" s="4">
        <f t="shared" si="40"/>
        <v>0</v>
      </c>
      <c r="M240" s="5">
        <f t="shared" si="41"/>
        <v>0</v>
      </c>
      <c r="N240" s="17">
        <f t="shared" si="57"/>
        <v>0</v>
      </c>
      <c r="O240" s="32">
        <f t="shared" si="58"/>
        <v>0</v>
      </c>
      <c r="AG240" t="s">
        <v>1402</v>
      </c>
      <c r="AH240" t="s">
        <v>583</v>
      </c>
      <c r="AI240">
        <v>5</v>
      </c>
      <c r="AJ240">
        <v>32</v>
      </c>
      <c r="AK240">
        <v>16</v>
      </c>
      <c r="AL240">
        <v>13</v>
      </c>
      <c r="AM240">
        <v>216</v>
      </c>
      <c r="AN240">
        <v>759</v>
      </c>
      <c r="AO240">
        <v>96</v>
      </c>
      <c r="AP240" s="44">
        <v>0.894927536231884</v>
      </c>
      <c r="AQ240" s="27">
        <f t="shared" si="49"/>
        <v>707.0869565217391</v>
      </c>
    </row>
    <row r="241" spans="1:43" ht="12.75">
      <c r="A241" s="18" t="s">
        <v>431</v>
      </c>
      <c r="B241" s="18" t="s">
        <v>432</v>
      </c>
      <c r="C241" t="s">
        <v>184</v>
      </c>
      <c r="D241" s="19">
        <v>1</v>
      </c>
      <c r="E241" s="7" t="str">
        <f>IF(AH241="S","Always one row per interval","")</f>
        <v>Always one row per interval</v>
      </c>
      <c r="F241" s="19"/>
      <c r="G241" s="4">
        <f>IF(F241&gt;0,F241,IF(PrefetchDBSummary!$C$10="B",AJ241,8))</f>
        <v>8</v>
      </c>
      <c r="H241" s="4">
        <f>PrefetchDBSummary!$C$55</f>
        <v>0</v>
      </c>
      <c r="I241" s="4">
        <f>PrefetchDBSummary!$D$55</f>
        <v>0</v>
      </c>
      <c r="J241" s="5">
        <f t="shared" si="38"/>
        <v>0</v>
      </c>
      <c r="K241" s="4">
        <f t="shared" si="39"/>
        <v>0</v>
      </c>
      <c r="L241" s="4">
        <f t="shared" si="40"/>
        <v>0</v>
      </c>
      <c r="M241" s="5">
        <f t="shared" si="41"/>
        <v>0</v>
      </c>
      <c r="N241" s="17">
        <f t="shared" si="57"/>
        <v>0</v>
      </c>
      <c r="O241" s="32">
        <f t="shared" si="58"/>
        <v>0</v>
      </c>
      <c r="AG241" t="s">
        <v>473</v>
      </c>
      <c r="AH241" t="s">
        <v>582</v>
      </c>
      <c r="AI241">
        <v>1</v>
      </c>
      <c r="AJ241">
        <v>32</v>
      </c>
      <c r="AK241">
        <v>2</v>
      </c>
      <c r="AL241">
        <v>1</v>
      </c>
      <c r="AM241">
        <v>38</v>
      </c>
      <c r="AN241">
        <v>77</v>
      </c>
      <c r="AO241">
        <v>32</v>
      </c>
      <c r="AP241" s="44">
        <v>0</v>
      </c>
      <c r="AQ241" s="27">
        <f t="shared" si="49"/>
        <v>329.8</v>
      </c>
    </row>
    <row r="242" spans="1:43" ht="12.75">
      <c r="A242" s="18" t="s">
        <v>431</v>
      </c>
      <c r="B242" s="18" t="s">
        <v>432</v>
      </c>
      <c r="C242" t="s">
        <v>183</v>
      </c>
      <c r="D242" s="19">
        <v>1</v>
      </c>
      <c r="E242" s="7" t="str">
        <f>IF(AH242="S","Always one row per interval","")</f>
        <v>Always one row per interval</v>
      </c>
      <c r="F242" s="19"/>
      <c r="G242" s="4">
        <f>IF(F242&gt;0,F242,IF(PrefetchDBSummary!$C$10="B",AJ242,8))</f>
        <v>8</v>
      </c>
      <c r="H242" s="4">
        <f>PrefetchDBSummary!$C$55</f>
        <v>0</v>
      </c>
      <c r="I242" s="4">
        <f>PrefetchDBSummary!$D$55</f>
        <v>0</v>
      </c>
      <c r="J242" s="5">
        <f t="shared" si="38"/>
        <v>0</v>
      </c>
      <c r="K242" s="4">
        <f t="shared" si="39"/>
        <v>0</v>
      </c>
      <c r="L242" s="4">
        <f t="shared" si="40"/>
        <v>0</v>
      </c>
      <c r="M242" s="5">
        <f t="shared" si="41"/>
        <v>0</v>
      </c>
      <c r="N242" s="17">
        <f t="shared" si="57"/>
        <v>0</v>
      </c>
      <c r="O242" s="32">
        <f t="shared" si="58"/>
        <v>0</v>
      </c>
      <c r="AG242" t="s">
        <v>474</v>
      </c>
      <c r="AH242" t="s">
        <v>582</v>
      </c>
      <c r="AI242">
        <v>1</v>
      </c>
      <c r="AJ242">
        <v>32</v>
      </c>
      <c r="AK242">
        <v>2</v>
      </c>
      <c r="AL242">
        <v>1</v>
      </c>
      <c r="AM242">
        <v>38</v>
      </c>
      <c r="AN242">
        <v>77</v>
      </c>
      <c r="AO242">
        <v>32</v>
      </c>
      <c r="AP242" s="44">
        <v>0</v>
      </c>
      <c r="AQ242" s="27">
        <f t="shared" si="49"/>
        <v>329.8</v>
      </c>
    </row>
    <row r="243" spans="1:43" ht="12.75">
      <c r="A243" s="18" t="s">
        <v>431</v>
      </c>
      <c r="B243" s="18" t="s">
        <v>432</v>
      </c>
      <c r="C243" t="s">
        <v>179</v>
      </c>
      <c r="D243" s="19">
        <v>1</v>
      </c>
      <c r="E243" s="7" t="s">
        <v>738</v>
      </c>
      <c r="F243" s="19"/>
      <c r="G243" s="4">
        <f>IF(F243&gt;0,F243,IF(PrefetchDBSummary!$C$10="B",AJ243,8))</f>
        <v>8</v>
      </c>
      <c r="H243" s="4">
        <f>PrefetchDBSummary!$C$55</f>
        <v>0</v>
      </c>
      <c r="I243" s="4">
        <f>PrefetchDBSummary!$D$55</f>
        <v>0</v>
      </c>
      <c r="J243" s="5">
        <f t="shared" si="38"/>
        <v>0</v>
      </c>
      <c r="K243" s="4">
        <f t="shared" si="39"/>
        <v>0</v>
      </c>
      <c r="L243" s="4">
        <f t="shared" si="40"/>
        <v>0</v>
      </c>
      <c r="M243" s="5">
        <f t="shared" si="41"/>
        <v>0</v>
      </c>
      <c r="N243" s="17">
        <f t="shared" si="57"/>
        <v>0</v>
      </c>
      <c r="O243" s="32">
        <f t="shared" si="58"/>
        <v>0</v>
      </c>
      <c r="AG243" t="s">
        <v>180</v>
      </c>
      <c r="AH243" t="s">
        <v>583</v>
      </c>
      <c r="AI243">
        <v>1</v>
      </c>
      <c r="AJ243">
        <v>8</v>
      </c>
      <c r="AK243">
        <v>13</v>
      </c>
      <c r="AL243">
        <v>5</v>
      </c>
      <c r="AM243">
        <v>273</v>
      </c>
      <c r="AN243">
        <v>468</v>
      </c>
      <c r="AO243">
        <v>212</v>
      </c>
      <c r="AP243" s="44">
        <v>0.35377358490566035</v>
      </c>
      <c r="AQ243" s="27">
        <f t="shared" si="49"/>
        <v>718</v>
      </c>
    </row>
    <row r="244" spans="1:43" ht="12.75">
      <c r="A244" s="18" t="s">
        <v>431</v>
      </c>
      <c r="B244" s="18" t="s">
        <v>432</v>
      </c>
      <c r="C244" t="s">
        <v>269</v>
      </c>
      <c r="D244" s="19">
        <v>47</v>
      </c>
      <c r="E244" s="7" t="s">
        <v>752</v>
      </c>
      <c r="F244" s="19"/>
      <c r="G244" s="4">
        <f>IF(F244&gt;0,F244,IF(PrefetchDBSummary!$C$10="B",AJ244,8))</f>
        <v>8</v>
      </c>
      <c r="H244" s="4">
        <f>PrefetchDBSummary!$C$55</f>
        <v>0</v>
      </c>
      <c r="I244" s="4">
        <f>PrefetchDBSummary!$D$55</f>
        <v>0</v>
      </c>
      <c r="J244" s="5">
        <f t="shared" si="38"/>
        <v>0</v>
      </c>
      <c r="K244" s="4">
        <f t="shared" si="39"/>
        <v>0</v>
      </c>
      <c r="L244" s="4">
        <f t="shared" si="40"/>
        <v>0</v>
      </c>
      <c r="M244" s="5">
        <f t="shared" si="41"/>
        <v>0</v>
      </c>
      <c r="N244" s="17">
        <f t="shared" si="57"/>
        <v>0</v>
      </c>
      <c r="O244" s="32">
        <f t="shared" si="58"/>
        <v>0</v>
      </c>
      <c r="AG244" t="s">
        <v>268</v>
      </c>
      <c r="AH244" t="s">
        <v>583</v>
      </c>
      <c r="AI244">
        <v>8</v>
      </c>
      <c r="AJ244">
        <v>8</v>
      </c>
      <c r="AK244">
        <v>2</v>
      </c>
      <c r="AL244">
        <v>0</v>
      </c>
      <c r="AM244">
        <v>98</v>
      </c>
      <c r="AN244">
        <v>98</v>
      </c>
      <c r="AO244">
        <v>96</v>
      </c>
      <c r="AP244" s="44">
        <v>0.5257092198581561</v>
      </c>
      <c r="AQ244" s="27">
        <f t="shared" si="49"/>
        <v>3602.9999999999995</v>
      </c>
    </row>
    <row r="245" spans="1:43" ht="12.75">
      <c r="A245" s="18" t="s">
        <v>431</v>
      </c>
      <c r="B245" s="18" t="s">
        <v>432</v>
      </c>
      <c r="C245" t="s">
        <v>177</v>
      </c>
      <c r="D245" s="19">
        <v>1</v>
      </c>
      <c r="E245" s="7" t="s">
        <v>742</v>
      </c>
      <c r="F245" s="19"/>
      <c r="G245" s="4">
        <f>IF(F245&gt;0,F245,IF(PrefetchDBSummary!$C$10="B",AJ245,8))</f>
        <v>8</v>
      </c>
      <c r="H245" s="4">
        <f>PrefetchDBSummary!$C$55</f>
        <v>0</v>
      </c>
      <c r="I245" s="4">
        <f>PrefetchDBSummary!$D$55</f>
        <v>0</v>
      </c>
      <c r="J245" s="5">
        <f t="shared" si="38"/>
        <v>0</v>
      </c>
      <c r="K245" s="4">
        <f t="shared" si="39"/>
        <v>0</v>
      </c>
      <c r="L245" s="4">
        <f t="shared" si="40"/>
        <v>0</v>
      </c>
      <c r="M245" s="5">
        <f t="shared" si="41"/>
        <v>0</v>
      </c>
      <c r="N245" s="17">
        <f t="shared" si="57"/>
        <v>0</v>
      </c>
      <c r="O245" s="32">
        <f t="shared" si="58"/>
        <v>0</v>
      </c>
      <c r="AG245" t="s">
        <v>178</v>
      </c>
      <c r="AH245" t="s">
        <v>583</v>
      </c>
      <c r="AI245">
        <v>5</v>
      </c>
      <c r="AJ245">
        <v>8</v>
      </c>
      <c r="AK245">
        <v>2</v>
      </c>
      <c r="AL245">
        <v>0</v>
      </c>
      <c r="AM245">
        <v>38</v>
      </c>
      <c r="AN245">
        <v>38</v>
      </c>
      <c r="AO245">
        <v>32</v>
      </c>
      <c r="AP245" s="44">
        <v>0</v>
      </c>
      <c r="AQ245" s="27">
        <f t="shared" si="49"/>
        <v>329.8</v>
      </c>
    </row>
    <row r="246" spans="1:43" ht="12.75">
      <c r="A246" s="18" t="s">
        <v>431</v>
      </c>
      <c r="B246" s="18" t="s">
        <v>432</v>
      </c>
      <c r="C246" t="s">
        <v>265</v>
      </c>
      <c r="D246" s="19">
        <v>13</v>
      </c>
      <c r="E246" s="7" t="s">
        <v>753</v>
      </c>
      <c r="F246" s="19"/>
      <c r="G246" s="4">
        <f>IF(F246&gt;0,F246,IF(PrefetchDBSummary!$C$10="B",AJ246,8))</f>
        <v>8</v>
      </c>
      <c r="H246" s="4">
        <f>PrefetchDBSummary!$C$55</f>
        <v>0</v>
      </c>
      <c r="I246" s="4">
        <f>PrefetchDBSummary!$D$55</f>
        <v>0</v>
      </c>
      <c r="J246" s="5">
        <f t="shared" si="38"/>
        <v>0</v>
      </c>
      <c r="K246" s="4">
        <f t="shared" si="39"/>
        <v>0</v>
      </c>
      <c r="L246" s="4">
        <f t="shared" si="40"/>
        <v>0</v>
      </c>
      <c r="M246" s="5">
        <f t="shared" si="41"/>
        <v>0</v>
      </c>
      <c r="N246" s="17">
        <f t="shared" si="57"/>
        <v>0</v>
      </c>
      <c r="O246" s="32">
        <f t="shared" si="58"/>
        <v>0</v>
      </c>
      <c r="AG246" t="s">
        <v>264</v>
      </c>
      <c r="AH246" t="s">
        <v>583</v>
      </c>
      <c r="AI246">
        <v>8</v>
      </c>
      <c r="AJ246">
        <v>8</v>
      </c>
      <c r="AK246">
        <v>3</v>
      </c>
      <c r="AL246">
        <v>0</v>
      </c>
      <c r="AM246">
        <v>163</v>
      </c>
      <c r="AN246">
        <v>163</v>
      </c>
      <c r="AO246">
        <v>160</v>
      </c>
      <c r="AP246" s="44">
        <v>0.5817307692307693</v>
      </c>
      <c r="AQ246" s="27">
        <f t="shared" si="49"/>
        <v>1515</v>
      </c>
    </row>
    <row r="247" spans="1:43" ht="12.75">
      <c r="A247" s="18" t="s">
        <v>431</v>
      </c>
      <c r="B247" s="18" t="s">
        <v>432</v>
      </c>
      <c r="C247" t="s">
        <v>271</v>
      </c>
      <c r="D247" s="19">
        <v>1</v>
      </c>
      <c r="E247" s="7" t="s">
        <v>747</v>
      </c>
      <c r="F247" s="19"/>
      <c r="G247" s="4">
        <f>IF(F247&gt;0,F247,IF(PrefetchDBSummary!$C$10="B",AJ247,8))</f>
        <v>8</v>
      </c>
      <c r="H247" s="4">
        <f>PrefetchDBSummary!$C$55</f>
        <v>0</v>
      </c>
      <c r="I247" s="4">
        <f>PrefetchDBSummary!$D$55</f>
        <v>0</v>
      </c>
      <c r="J247" s="5">
        <f t="shared" si="38"/>
        <v>0</v>
      </c>
      <c r="K247" s="4">
        <f t="shared" si="39"/>
        <v>0</v>
      </c>
      <c r="L247" s="4">
        <f t="shared" si="40"/>
        <v>0</v>
      </c>
      <c r="M247" s="5">
        <f t="shared" si="41"/>
        <v>0</v>
      </c>
      <c r="N247" s="17">
        <f t="shared" si="57"/>
        <v>0</v>
      </c>
      <c r="O247" s="32">
        <f t="shared" si="58"/>
        <v>0</v>
      </c>
      <c r="AG247" t="s">
        <v>270</v>
      </c>
      <c r="AH247" t="s">
        <v>583</v>
      </c>
      <c r="AI247">
        <v>8</v>
      </c>
      <c r="AJ247">
        <v>8</v>
      </c>
      <c r="AK247">
        <v>5</v>
      </c>
      <c r="AL247">
        <v>0</v>
      </c>
      <c r="AM247">
        <v>233</v>
      </c>
      <c r="AN247">
        <v>233</v>
      </c>
      <c r="AO247">
        <v>224</v>
      </c>
      <c r="AP247" s="44">
        <v>0.5535714285714286</v>
      </c>
      <c r="AQ247" s="27">
        <f t="shared" si="49"/>
        <v>477</v>
      </c>
    </row>
    <row r="248" spans="1:43" ht="12.75">
      <c r="A248" s="18" t="s">
        <v>431</v>
      </c>
      <c r="B248" s="18" t="s">
        <v>432</v>
      </c>
      <c r="C248" t="s">
        <v>267</v>
      </c>
      <c r="D248" s="19">
        <v>8</v>
      </c>
      <c r="E248" s="7" t="s">
        <v>754</v>
      </c>
      <c r="F248" s="19"/>
      <c r="G248" s="4">
        <f>IF(F248&gt;0,F248,IF(PrefetchDBSummary!$C$10="B",AJ248,8))</f>
        <v>8</v>
      </c>
      <c r="H248" s="4">
        <f>PrefetchDBSummary!$C$55</f>
        <v>0</v>
      </c>
      <c r="I248" s="4">
        <f>PrefetchDBSummary!$D$55</f>
        <v>0</v>
      </c>
      <c r="J248" s="5">
        <f aca="true" t="shared" si="59" ref="J248:J318">IF(H248&gt;0,(AQ248)/(AI248*60),IF(I248&gt;0,(AQ248)/(5*60),0))</f>
        <v>0</v>
      </c>
      <c r="K248" s="4">
        <f aca="true" t="shared" si="60" ref="K248:K318">IF(H248&gt;0,D248/AI248,IF(I248&gt;0,D248/5,0))</f>
        <v>0</v>
      </c>
      <c r="L248" s="4">
        <f aca="true" t="shared" si="61" ref="L248:L318">H248*D248/AI248+I248*D248/5</f>
        <v>0</v>
      </c>
      <c r="M248" s="5">
        <f aca="true" t="shared" si="62" ref="M248:M318">L248*AM248*(1-IF(AP248&gt;0,AP248,$AS$2)*$AS$3)/1024</f>
        <v>0</v>
      </c>
      <c r="N248" s="17">
        <f t="shared" si="57"/>
        <v>0</v>
      </c>
      <c r="O248" s="32">
        <f t="shared" si="58"/>
        <v>0</v>
      </c>
      <c r="AG248" t="s">
        <v>266</v>
      </c>
      <c r="AH248" t="s">
        <v>583</v>
      </c>
      <c r="AI248">
        <v>8</v>
      </c>
      <c r="AJ248">
        <v>8</v>
      </c>
      <c r="AK248">
        <v>2</v>
      </c>
      <c r="AL248">
        <v>0</v>
      </c>
      <c r="AM248">
        <v>162</v>
      </c>
      <c r="AN248">
        <v>162</v>
      </c>
      <c r="AO248">
        <v>160</v>
      </c>
      <c r="AP248" s="44">
        <v>0.6044270833333333</v>
      </c>
      <c r="AQ248" s="27">
        <f t="shared" si="49"/>
        <v>994.3333333333334</v>
      </c>
    </row>
    <row r="249" spans="1:43" ht="12.75">
      <c r="A249" s="18" t="s">
        <v>431</v>
      </c>
      <c r="B249" s="18" t="s">
        <v>432</v>
      </c>
      <c r="C249" t="s">
        <v>181</v>
      </c>
      <c r="D249" s="19">
        <v>1</v>
      </c>
      <c r="E249" s="7" t="str">
        <f>IF(AH249="S","Always one row per interval","")</f>
        <v>Always one row per interval</v>
      </c>
      <c r="F249" s="19"/>
      <c r="G249" s="4">
        <f>IF(F249&gt;0,F249,IF(PrefetchDBSummary!$C$10="B",AJ249,8))</f>
        <v>8</v>
      </c>
      <c r="H249" s="4">
        <f>PrefetchDBSummary!$C$55</f>
        <v>0</v>
      </c>
      <c r="I249" s="4">
        <f>PrefetchDBSummary!$D$55</f>
        <v>0</v>
      </c>
      <c r="J249" s="5">
        <f t="shared" si="59"/>
        <v>0</v>
      </c>
      <c r="K249" s="4">
        <f t="shared" si="60"/>
        <v>0</v>
      </c>
      <c r="L249" s="4">
        <f t="shared" si="61"/>
        <v>0</v>
      </c>
      <c r="M249" s="5">
        <f t="shared" si="62"/>
        <v>0</v>
      </c>
      <c r="N249" s="17">
        <f t="shared" si="57"/>
        <v>0</v>
      </c>
      <c r="O249" s="32">
        <f t="shared" si="58"/>
        <v>0</v>
      </c>
      <c r="AG249" t="s">
        <v>182</v>
      </c>
      <c r="AH249" t="s">
        <v>582</v>
      </c>
      <c r="AI249">
        <v>8</v>
      </c>
      <c r="AJ249">
        <v>8</v>
      </c>
      <c r="AK249">
        <v>4</v>
      </c>
      <c r="AL249">
        <v>0</v>
      </c>
      <c r="AM249">
        <v>228</v>
      </c>
      <c r="AN249">
        <v>228</v>
      </c>
      <c r="AO249">
        <v>224</v>
      </c>
      <c r="AP249" s="44">
        <v>0.5357142857142857</v>
      </c>
      <c r="AQ249" s="27">
        <f aca="true" t="shared" si="63" ref="AQ249:AQ319">250+19*AK249+D249*(23+(AM249-AO249)+AO249*(1-IF(AP249&gt;0,AP249,$AS$2)))</f>
        <v>457</v>
      </c>
    </row>
    <row r="250" spans="1:43" ht="12.75">
      <c r="A250" s="18" t="s">
        <v>431</v>
      </c>
      <c r="B250" s="18" t="s">
        <v>432</v>
      </c>
      <c r="C250" t="s">
        <v>273</v>
      </c>
      <c r="D250" s="19">
        <v>10</v>
      </c>
      <c r="E250" s="7" t="s">
        <v>756</v>
      </c>
      <c r="F250" s="19"/>
      <c r="G250" s="4">
        <f>IF(F250&gt;0,F250,IF(PrefetchDBSummary!$C$10="B",AJ250,8))</f>
        <v>8</v>
      </c>
      <c r="H250" s="4">
        <f>PrefetchDBSummary!$C$55</f>
        <v>0</v>
      </c>
      <c r="I250" s="4">
        <f>PrefetchDBSummary!$D$55</f>
        <v>0</v>
      </c>
      <c r="J250" s="5">
        <f t="shared" si="59"/>
        <v>0</v>
      </c>
      <c r="K250" s="4">
        <f t="shared" si="60"/>
        <v>0</v>
      </c>
      <c r="L250" s="4">
        <f t="shared" si="61"/>
        <v>0</v>
      </c>
      <c r="M250" s="5">
        <f t="shared" si="62"/>
        <v>0</v>
      </c>
      <c r="N250" s="17">
        <f t="shared" si="57"/>
        <v>0</v>
      </c>
      <c r="O250" s="32">
        <f t="shared" si="58"/>
        <v>0</v>
      </c>
      <c r="AG250" t="s">
        <v>272</v>
      </c>
      <c r="AH250" t="s">
        <v>583</v>
      </c>
      <c r="AI250">
        <v>1</v>
      </c>
      <c r="AJ250">
        <v>32</v>
      </c>
      <c r="AK250">
        <v>10</v>
      </c>
      <c r="AL250">
        <v>1</v>
      </c>
      <c r="AM250">
        <v>1518</v>
      </c>
      <c r="AN250">
        <v>1557</v>
      </c>
      <c r="AO250">
        <v>1504</v>
      </c>
      <c r="AP250" s="44">
        <v>0.8763297872340425</v>
      </c>
      <c r="AQ250" s="27">
        <f t="shared" si="63"/>
        <v>2670.0000000000005</v>
      </c>
    </row>
    <row r="251" spans="1:43" ht="12.75">
      <c r="A251" s="18" t="s">
        <v>431</v>
      </c>
      <c r="B251" s="18" t="s">
        <v>432</v>
      </c>
      <c r="C251" t="s">
        <v>275</v>
      </c>
      <c r="D251" s="19">
        <v>10</v>
      </c>
      <c r="E251" s="7" t="s">
        <v>755</v>
      </c>
      <c r="F251" s="19"/>
      <c r="G251" s="4">
        <f>IF(F251&gt;0,F251,IF(PrefetchDBSummary!$C$10="B",AJ251,8))</f>
        <v>8</v>
      </c>
      <c r="H251" s="4">
        <f>PrefetchDBSummary!$C$55</f>
        <v>0</v>
      </c>
      <c r="I251" s="4">
        <f>PrefetchDBSummary!$D$55</f>
        <v>0</v>
      </c>
      <c r="J251" s="5">
        <f t="shared" si="59"/>
        <v>0</v>
      </c>
      <c r="K251" s="4">
        <f t="shared" si="60"/>
        <v>0</v>
      </c>
      <c r="L251" s="4">
        <f t="shared" si="61"/>
        <v>0</v>
      </c>
      <c r="M251" s="5">
        <f t="shared" si="62"/>
        <v>0</v>
      </c>
      <c r="N251" s="17">
        <f t="shared" si="57"/>
        <v>0</v>
      </c>
      <c r="O251" s="32">
        <f t="shared" si="58"/>
        <v>0</v>
      </c>
      <c r="AG251" t="s">
        <v>274</v>
      </c>
      <c r="AH251" t="s">
        <v>583</v>
      </c>
      <c r="AI251">
        <v>1</v>
      </c>
      <c r="AJ251">
        <v>32</v>
      </c>
      <c r="AK251">
        <v>5</v>
      </c>
      <c r="AL251">
        <v>2</v>
      </c>
      <c r="AM251">
        <v>1133</v>
      </c>
      <c r="AN251">
        <v>1211</v>
      </c>
      <c r="AO251">
        <v>1120</v>
      </c>
      <c r="AP251" s="44">
        <v>0.9383928571428571</v>
      </c>
      <c r="AQ251" s="27">
        <f t="shared" si="63"/>
        <v>1395</v>
      </c>
    </row>
    <row r="252" spans="1:43" ht="12.75">
      <c r="A252" s="18" t="s">
        <v>433</v>
      </c>
      <c r="B252" s="18" t="s">
        <v>2036</v>
      </c>
      <c r="C252" t="s">
        <v>153</v>
      </c>
      <c r="D252" s="19">
        <v>5</v>
      </c>
      <c r="E252" s="7" t="s">
        <v>757</v>
      </c>
      <c r="F252" s="19"/>
      <c r="G252" s="4">
        <f>IF(F252&gt;0,F252,IF(PrefetchDBSummary!$C$10="B",AJ252,8))</f>
        <v>8</v>
      </c>
      <c r="H252" s="4">
        <f>PrefetchDBSummary!$C$28</f>
        <v>10</v>
      </c>
      <c r="I252" s="4">
        <f>PrefetchDBSummary!$D$28</f>
        <v>0</v>
      </c>
      <c r="J252" s="5">
        <f t="shared" si="59"/>
        <v>22.483333333333334</v>
      </c>
      <c r="K252" s="4">
        <f t="shared" si="60"/>
        <v>5</v>
      </c>
      <c r="L252" s="4">
        <f t="shared" si="61"/>
        <v>50</v>
      </c>
      <c r="M252" s="5">
        <f t="shared" si="62"/>
        <v>4.124023437499999</v>
      </c>
      <c r="N252" s="17">
        <f t="shared" si="57"/>
        <v>576000</v>
      </c>
      <c r="O252" s="32">
        <f t="shared" si="58"/>
        <v>20.786132812499996</v>
      </c>
      <c r="AG252" t="s">
        <v>154</v>
      </c>
      <c r="AH252" t="s">
        <v>583</v>
      </c>
      <c r="AI252">
        <v>1</v>
      </c>
      <c r="AJ252">
        <v>32</v>
      </c>
      <c r="AK252">
        <v>10</v>
      </c>
      <c r="AL252">
        <v>7</v>
      </c>
      <c r="AM252">
        <v>206</v>
      </c>
      <c r="AN252">
        <v>563</v>
      </c>
      <c r="AO252">
        <v>64</v>
      </c>
      <c r="AP252" s="44">
        <v>0.7375</v>
      </c>
      <c r="AQ252" s="27">
        <f t="shared" si="63"/>
        <v>1349</v>
      </c>
    </row>
    <row r="253" spans="1:43" ht="12.75">
      <c r="A253" s="18" t="s">
        <v>433</v>
      </c>
      <c r="B253" s="18" t="s">
        <v>2036</v>
      </c>
      <c r="C253" t="s">
        <v>149</v>
      </c>
      <c r="D253" s="4">
        <f>PrefetchDBSummary!$E$28</f>
        <v>8</v>
      </c>
      <c r="E253" s="7" t="s">
        <v>758</v>
      </c>
      <c r="F253" s="19"/>
      <c r="G253" s="4">
        <f>IF(F253&gt;0,F253,IF(PrefetchDBSummary!$C$10="B",AJ253,8))</f>
        <v>8</v>
      </c>
      <c r="H253" s="4">
        <f>PrefetchDBSummary!$C$28</f>
        <v>10</v>
      </c>
      <c r="I253" s="4">
        <f>PrefetchDBSummary!$D$28</f>
        <v>0</v>
      </c>
      <c r="J253" s="5">
        <f t="shared" si="59"/>
        <v>4.9688888888888885</v>
      </c>
      <c r="K253" s="4">
        <f t="shared" si="60"/>
        <v>1.6</v>
      </c>
      <c r="L253" s="4">
        <f t="shared" si="61"/>
        <v>16</v>
      </c>
      <c r="M253" s="5">
        <f t="shared" si="62"/>
        <v>2.808237390350876</v>
      </c>
      <c r="N253" s="17">
        <f t="shared" si="57"/>
        <v>184320</v>
      </c>
      <c r="O253" s="32">
        <f t="shared" si="58"/>
        <v>21.363281249999996</v>
      </c>
      <c r="AG253" t="s">
        <v>150</v>
      </c>
      <c r="AH253" t="s">
        <v>583</v>
      </c>
      <c r="AI253">
        <v>5</v>
      </c>
      <c r="AJ253">
        <v>8</v>
      </c>
      <c r="AK253">
        <v>10</v>
      </c>
      <c r="AL253">
        <v>3</v>
      </c>
      <c r="AM253">
        <v>662</v>
      </c>
      <c r="AN253">
        <v>783</v>
      </c>
      <c r="AO253">
        <v>608</v>
      </c>
      <c r="AP253" s="44">
        <v>0.9106359649122807</v>
      </c>
      <c r="AQ253" s="27">
        <f t="shared" si="63"/>
        <v>1490.6666666666665</v>
      </c>
    </row>
    <row r="254" spans="1:43" ht="12.75">
      <c r="A254" s="18" t="s">
        <v>433</v>
      </c>
      <c r="B254" s="18" t="s">
        <v>2036</v>
      </c>
      <c r="C254" t="s">
        <v>68</v>
      </c>
      <c r="D254" s="19">
        <v>8</v>
      </c>
      <c r="E254" s="7" t="s">
        <v>759</v>
      </c>
      <c r="F254" s="19"/>
      <c r="G254" s="4">
        <f>IF(F254&gt;0,F254,IF(PrefetchDBSummary!$C$10="B",AJ254,8))</f>
        <v>8</v>
      </c>
      <c r="H254" s="4">
        <f>PrefetchDBSummary!$C$28</f>
        <v>10</v>
      </c>
      <c r="I254" s="4">
        <f>PrefetchDBSummary!$D$28</f>
        <v>0</v>
      </c>
      <c r="J254" s="5">
        <f t="shared" si="59"/>
        <v>30.293333333333333</v>
      </c>
      <c r="K254" s="4">
        <f t="shared" si="60"/>
        <v>8</v>
      </c>
      <c r="L254" s="4">
        <f t="shared" si="61"/>
        <v>80</v>
      </c>
      <c r="M254" s="5">
        <f t="shared" si="62"/>
        <v>9.18125</v>
      </c>
      <c r="N254" s="17">
        <f t="shared" si="57"/>
        <v>921600</v>
      </c>
      <c r="O254" s="32">
        <f t="shared" si="58"/>
        <v>30.726562499999993</v>
      </c>
      <c r="AG254" t="s">
        <v>69</v>
      </c>
      <c r="AH254" t="s">
        <v>583</v>
      </c>
      <c r="AI254">
        <v>1</v>
      </c>
      <c r="AJ254">
        <v>14</v>
      </c>
      <c r="AK254">
        <v>10</v>
      </c>
      <c r="AL254">
        <v>5</v>
      </c>
      <c r="AM254">
        <v>226</v>
      </c>
      <c r="AN254">
        <v>433</v>
      </c>
      <c r="AO254">
        <v>128</v>
      </c>
      <c r="AP254" s="44"/>
      <c r="AQ254" s="27">
        <f t="shared" si="63"/>
        <v>1817.6</v>
      </c>
    </row>
    <row r="255" spans="1:43" ht="12.75">
      <c r="A255" s="18" t="s">
        <v>433</v>
      </c>
      <c r="B255" s="18" t="s">
        <v>2036</v>
      </c>
      <c r="C255" t="s">
        <v>1353</v>
      </c>
      <c r="D255" s="19"/>
      <c r="E255" s="7" t="s">
        <v>1935</v>
      </c>
      <c r="F255" s="19"/>
      <c r="G255" s="4">
        <f>IF(F255&gt;0,F255,IF(PrefetchDBSummary!$C$10="B",AJ255,8))</f>
        <v>8</v>
      </c>
      <c r="H255" s="4">
        <f>PrefetchDBSummary!$C$28</f>
        <v>10</v>
      </c>
      <c r="I255" s="4">
        <f>PrefetchDBSummary!$D$28</f>
        <v>0</v>
      </c>
      <c r="J255" s="5">
        <f t="shared" si="59"/>
        <v>7.966666666666667</v>
      </c>
      <c r="K255" s="4">
        <f t="shared" si="60"/>
        <v>0</v>
      </c>
      <c r="L255" s="4">
        <f t="shared" si="61"/>
        <v>0</v>
      </c>
      <c r="M255" s="5">
        <f t="shared" si="62"/>
        <v>0</v>
      </c>
      <c r="N255" s="17">
        <f t="shared" si="57"/>
        <v>0</v>
      </c>
      <c r="O255" s="32">
        <f t="shared" si="58"/>
        <v>0</v>
      </c>
      <c r="AG255" t="s">
        <v>1361</v>
      </c>
      <c r="AH255" t="s">
        <v>583</v>
      </c>
      <c r="AI255">
        <v>1</v>
      </c>
      <c r="AJ255">
        <v>32</v>
      </c>
      <c r="AK255">
        <v>12</v>
      </c>
      <c r="AL255">
        <v>7</v>
      </c>
      <c r="AM255">
        <v>820</v>
      </c>
      <c r="AN255">
        <v>1153</v>
      </c>
      <c r="AO255">
        <v>704</v>
      </c>
      <c r="AP255" s="44"/>
      <c r="AQ255" s="27">
        <f t="shared" si="63"/>
        <v>478</v>
      </c>
    </row>
    <row r="256" spans="1:43" ht="12.75">
      <c r="A256" s="18" t="s">
        <v>433</v>
      </c>
      <c r="B256" s="18" t="s">
        <v>2036</v>
      </c>
      <c r="C256" t="s">
        <v>1354</v>
      </c>
      <c r="D256" s="19">
        <v>1</v>
      </c>
      <c r="E256" s="7" t="s">
        <v>710</v>
      </c>
      <c r="F256" s="19"/>
      <c r="G256" s="4">
        <f>IF(F256&gt;0,F256,IF(PrefetchDBSummary!$C$10="B",AJ256,8))</f>
        <v>8</v>
      </c>
      <c r="H256" s="4">
        <f>PrefetchDBSummary!$C$28</f>
        <v>10</v>
      </c>
      <c r="I256" s="4">
        <f>PrefetchDBSummary!$D$28</f>
        <v>0</v>
      </c>
      <c r="J256" s="5">
        <f t="shared" si="59"/>
        <v>1.3073333333333332</v>
      </c>
      <c r="K256" s="4">
        <f t="shared" si="60"/>
        <v>0.2</v>
      </c>
      <c r="L256" s="4">
        <f t="shared" si="61"/>
        <v>2</v>
      </c>
      <c r="M256" s="5">
        <f t="shared" si="62"/>
        <v>0.141171875</v>
      </c>
      <c r="N256" s="17">
        <f t="shared" si="57"/>
        <v>23040</v>
      </c>
      <c r="O256" s="32">
        <f t="shared" si="58"/>
        <v>0.3858398437499999</v>
      </c>
      <c r="AG256" t="s">
        <v>1362</v>
      </c>
      <c r="AH256" t="s">
        <v>583</v>
      </c>
      <c r="AI256">
        <v>5</v>
      </c>
      <c r="AJ256">
        <v>32</v>
      </c>
      <c r="AK256">
        <v>3</v>
      </c>
      <c r="AL256">
        <v>0</v>
      </c>
      <c r="AM256">
        <v>139</v>
      </c>
      <c r="AN256">
        <v>139</v>
      </c>
      <c r="AO256">
        <v>128</v>
      </c>
      <c r="AP256" s="44"/>
      <c r="AQ256" s="27">
        <f t="shared" si="63"/>
        <v>392.2</v>
      </c>
    </row>
    <row r="257" spans="1:43" ht="12.75">
      <c r="A257" s="18" t="s">
        <v>433</v>
      </c>
      <c r="B257" s="18" t="s">
        <v>2036</v>
      </c>
      <c r="C257" t="s">
        <v>1355</v>
      </c>
      <c r="D257" s="19"/>
      <c r="E257" s="7" t="s">
        <v>1937</v>
      </c>
      <c r="F257" s="19"/>
      <c r="G257" s="4">
        <f>IF(F257&gt;0,F257,IF(PrefetchDBSummary!$C$10="B",AJ257,8))</f>
        <v>8</v>
      </c>
      <c r="H257" s="4">
        <f>PrefetchDBSummary!$C$28</f>
        <v>10</v>
      </c>
      <c r="I257" s="4">
        <f>PrefetchDBSummary!$D$28</f>
        <v>0</v>
      </c>
      <c r="J257" s="5">
        <f t="shared" si="59"/>
        <v>7.65</v>
      </c>
      <c r="K257" s="4">
        <f t="shared" si="60"/>
        <v>0</v>
      </c>
      <c r="L257" s="4">
        <f t="shared" si="61"/>
        <v>0</v>
      </c>
      <c r="M257" s="5">
        <f t="shared" si="62"/>
        <v>0</v>
      </c>
      <c r="N257" s="17">
        <f t="shared" si="57"/>
        <v>0</v>
      </c>
      <c r="O257" s="32">
        <f t="shared" si="58"/>
        <v>0</v>
      </c>
      <c r="AG257" t="s">
        <v>1363</v>
      </c>
      <c r="AH257" t="s">
        <v>583</v>
      </c>
      <c r="AI257">
        <v>1</v>
      </c>
      <c r="AJ257">
        <v>32</v>
      </c>
      <c r="AK257">
        <v>11</v>
      </c>
      <c r="AL257">
        <v>4</v>
      </c>
      <c r="AM257">
        <v>803</v>
      </c>
      <c r="AN257">
        <v>1007</v>
      </c>
      <c r="AO257">
        <v>704</v>
      </c>
      <c r="AP257" s="44"/>
      <c r="AQ257" s="27">
        <f t="shared" si="63"/>
        <v>459</v>
      </c>
    </row>
    <row r="258" spans="1:43" ht="12.75">
      <c r="A258" s="18" t="s">
        <v>433</v>
      </c>
      <c r="B258" s="18" t="s">
        <v>2036</v>
      </c>
      <c r="C258" t="s">
        <v>1356</v>
      </c>
      <c r="D258" s="19"/>
      <c r="E258" s="7" t="s">
        <v>1936</v>
      </c>
      <c r="F258" s="19"/>
      <c r="G258" s="4">
        <f>IF(F258&gt;0,F258,IF(PrefetchDBSummary!$C$10="B",AJ258,8))</f>
        <v>8</v>
      </c>
      <c r="H258" s="4">
        <f>PrefetchDBSummary!$C$28</f>
        <v>10</v>
      </c>
      <c r="I258" s="4">
        <f>PrefetchDBSummary!$D$28</f>
        <v>0</v>
      </c>
      <c r="J258" s="5">
        <f t="shared" si="59"/>
        <v>1.91</v>
      </c>
      <c r="K258" s="4">
        <f t="shared" si="60"/>
        <v>0</v>
      </c>
      <c r="L258" s="4">
        <f t="shared" si="61"/>
        <v>0</v>
      </c>
      <c r="M258" s="5">
        <f t="shared" si="62"/>
        <v>0</v>
      </c>
      <c r="N258" s="17">
        <f t="shared" si="57"/>
        <v>0</v>
      </c>
      <c r="O258" s="32">
        <f t="shared" si="58"/>
        <v>0</v>
      </c>
      <c r="AG258" t="s">
        <v>1364</v>
      </c>
      <c r="AH258" t="s">
        <v>583</v>
      </c>
      <c r="AI258">
        <v>5</v>
      </c>
      <c r="AJ258">
        <v>32</v>
      </c>
      <c r="AK258">
        <v>17</v>
      </c>
      <c r="AL258">
        <v>12</v>
      </c>
      <c r="AM258">
        <v>865</v>
      </c>
      <c r="AN258">
        <v>1413</v>
      </c>
      <c r="AO258">
        <v>704</v>
      </c>
      <c r="AP258" s="44"/>
      <c r="AQ258" s="27">
        <f t="shared" si="63"/>
        <v>573</v>
      </c>
    </row>
    <row r="259" spans="1:43" ht="12.75">
      <c r="A259" s="18" t="s">
        <v>433</v>
      </c>
      <c r="B259" s="18" t="s">
        <v>2036</v>
      </c>
      <c r="C259" t="s">
        <v>1357</v>
      </c>
      <c r="D259" s="19"/>
      <c r="E259" s="7" t="s">
        <v>1938</v>
      </c>
      <c r="F259" s="19"/>
      <c r="G259" s="4">
        <f>IF(F259&gt;0,F259,IF(PrefetchDBSummary!$C$10="B",AJ259,8))</f>
        <v>8</v>
      </c>
      <c r="H259" s="4">
        <f>PrefetchDBSummary!$C$28</f>
        <v>10</v>
      </c>
      <c r="I259" s="4">
        <f>PrefetchDBSummary!$D$28</f>
        <v>0</v>
      </c>
      <c r="J259" s="5">
        <f t="shared" si="59"/>
        <v>6.383333333333334</v>
      </c>
      <c r="K259" s="4">
        <f t="shared" si="60"/>
        <v>0</v>
      </c>
      <c r="L259" s="4">
        <f t="shared" si="61"/>
        <v>0</v>
      </c>
      <c r="M259" s="5">
        <f t="shared" si="62"/>
        <v>0</v>
      </c>
      <c r="N259" s="17">
        <f t="shared" si="57"/>
        <v>0</v>
      </c>
      <c r="O259" s="32">
        <f t="shared" si="58"/>
        <v>0</v>
      </c>
      <c r="AG259" t="s">
        <v>1365</v>
      </c>
      <c r="AH259" t="s">
        <v>583</v>
      </c>
      <c r="AI259">
        <v>1</v>
      </c>
      <c r="AJ259">
        <v>32</v>
      </c>
      <c r="AK259">
        <v>7</v>
      </c>
      <c r="AL259">
        <v>2</v>
      </c>
      <c r="AM259">
        <v>759</v>
      </c>
      <c r="AN259">
        <v>861</v>
      </c>
      <c r="AO259">
        <v>704</v>
      </c>
      <c r="AP259" s="44"/>
      <c r="AQ259" s="27">
        <f t="shared" si="63"/>
        <v>383</v>
      </c>
    </row>
    <row r="260" spans="1:43" ht="12.75">
      <c r="A260" s="18" t="s">
        <v>433</v>
      </c>
      <c r="B260" s="18" t="s">
        <v>2036</v>
      </c>
      <c r="C260" t="s">
        <v>1358</v>
      </c>
      <c r="D260" s="19"/>
      <c r="E260" s="7" t="s">
        <v>1939</v>
      </c>
      <c r="F260" s="19"/>
      <c r="G260" s="4">
        <f>IF(F260&gt;0,F260,IF(PrefetchDBSummary!$C$10="B",AJ260,8))</f>
        <v>8</v>
      </c>
      <c r="H260" s="4">
        <f>PrefetchDBSummary!$C$28</f>
        <v>10</v>
      </c>
      <c r="I260" s="4">
        <f>PrefetchDBSummary!$D$28</f>
        <v>0</v>
      </c>
      <c r="J260" s="5">
        <f t="shared" si="59"/>
        <v>8.283333333333333</v>
      </c>
      <c r="K260" s="4">
        <f t="shared" si="60"/>
        <v>0</v>
      </c>
      <c r="L260" s="4">
        <f t="shared" si="61"/>
        <v>0</v>
      </c>
      <c r="M260" s="5">
        <f t="shared" si="62"/>
        <v>0</v>
      </c>
      <c r="N260" s="17">
        <f t="shared" si="57"/>
        <v>0</v>
      </c>
      <c r="O260" s="32">
        <f t="shared" si="58"/>
        <v>0</v>
      </c>
      <c r="AG260" t="s">
        <v>1366</v>
      </c>
      <c r="AH260" t="s">
        <v>583</v>
      </c>
      <c r="AI260">
        <v>1</v>
      </c>
      <c r="AJ260">
        <v>32</v>
      </c>
      <c r="AK260">
        <v>13</v>
      </c>
      <c r="AL260">
        <v>4</v>
      </c>
      <c r="AM260">
        <v>1677</v>
      </c>
      <c r="AN260">
        <v>1881</v>
      </c>
      <c r="AO260">
        <v>1568</v>
      </c>
      <c r="AP260" s="44"/>
      <c r="AQ260" s="27">
        <f t="shared" si="63"/>
        <v>497</v>
      </c>
    </row>
    <row r="261" spans="1:43" ht="12.75">
      <c r="A261" s="18" t="s">
        <v>433</v>
      </c>
      <c r="B261" s="18" t="s">
        <v>2036</v>
      </c>
      <c r="C261" t="s">
        <v>1359</v>
      </c>
      <c r="D261" s="19"/>
      <c r="E261" s="7" t="s">
        <v>1936</v>
      </c>
      <c r="F261" s="19"/>
      <c r="G261" s="4">
        <f>IF(F261&gt;0,F261,IF(PrefetchDBSummary!$C$10="B",AJ261,8))</f>
        <v>8</v>
      </c>
      <c r="H261" s="4">
        <f>PrefetchDBSummary!$C$28</f>
        <v>10</v>
      </c>
      <c r="I261" s="4">
        <f>PrefetchDBSummary!$D$28</f>
        <v>0</v>
      </c>
      <c r="J261" s="5">
        <f t="shared" si="59"/>
        <v>1.53</v>
      </c>
      <c r="K261" s="4">
        <f t="shared" si="60"/>
        <v>0</v>
      </c>
      <c r="L261" s="4">
        <f t="shared" si="61"/>
        <v>0</v>
      </c>
      <c r="M261" s="5">
        <f t="shared" si="62"/>
        <v>0</v>
      </c>
      <c r="N261" s="17">
        <f t="shared" si="57"/>
        <v>0</v>
      </c>
      <c r="O261" s="32">
        <f t="shared" si="58"/>
        <v>0</v>
      </c>
      <c r="AG261" t="s">
        <v>1367</v>
      </c>
      <c r="AH261" t="s">
        <v>583</v>
      </c>
      <c r="AI261">
        <v>5</v>
      </c>
      <c r="AJ261">
        <v>8</v>
      </c>
      <c r="AK261">
        <v>11</v>
      </c>
      <c r="AL261">
        <v>0</v>
      </c>
      <c r="AM261">
        <v>1807</v>
      </c>
      <c r="AN261">
        <v>1807</v>
      </c>
      <c r="AO261">
        <v>1728</v>
      </c>
      <c r="AP261" s="44"/>
      <c r="AQ261" s="27">
        <f t="shared" si="63"/>
        <v>459</v>
      </c>
    </row>
    <row r="262" spans="1:43" ht="12.75">
      <c r="A262" s="18" t="s">
        <v>433</v>
      </c>
      <c r="B262" s="18" t="s">
        <v>2036</v>
      </c>
      <c r="C262" t="s">
        <v>1360</v>
      </c>
      <c r="D262" s="19"/>
      <c r="E262" s="7" t="s">
        <v>1936</v>
      </c>
      <c r="F262" s="19"/>
      <c r="G262" s="4">
        <f>IF(F262&gt;0,F262,IF(PrefetchDBSummary!$C$10="B",AJ262,8))</f>
        <v>8</v>
      </c>
      <c r="H262" s="4">
        <f>PrefetchDBSummary!$C$28</f>
        <v>10</v>
      </c>
      <c r="I262" s="4">
        <f>PrefetchDBSummary!$D$28</f>
        <v>0</v>
      </c>
      <c r="J262" s="5">
        <f t="shared" si="59"/>
        <v>1.0233333333333334</v>
      </c>
      <c r="K262" s="4">
        <f t="shared" si="60"/>
        <v>0</v>
      </c>
      <c r="L262" s="4">
        <f t="shared" si="61"/>
        <v>0</v>
      </c>
      <c r="M262" s="5">
        <f t="shared" si="62"/>
        <v>0</v>
      </c>
      <c r="N262" s="17">
        <f t="shared" si="57"/>
        <v>0</v>
      </c>
      <c r="O262" s="32">
        <f t="shared" si="58"/>
        <v>0</v>
      </c>
      <c r="AG262" t="s">
        <v>1368</v>
      </c>
      <c r="AH262" t="s">
        <v>583</v>
      </c>
      <c r="AI262">
        <v>5</v>
      </c>
      <c r="AJ262">
        <v>8</v>
      </c>
      <c r="AK262">
        <v>3</v>
      </c>
      <c r="AL262">
        <v>0</v>
      </c>
      <c r="AM262">
        <v>99</v>
      </c>
      <c r="AN262">
        <v>99</v>
      </c>
      <c r="AO262">
        <v>64</v>
      </c>
      <c r="AP262" s="44"/>
      <c r="AQ262" s="27">
        <f t="shared" si="63"/>
        <v>307</v>
      </c>
    </row>
    <row r="263" spans="1:43" ht="12.75">
      <c r="A263" s="18" t="s">
        <v>433</v>
      </c>
      <c r="B263" s="18" t="s">
        <v>2036</v>
      </c>
      <c r="C263" t="s">
        <v>893</v>
      </c>
      <c r="D263" s="19">
        <v>8</v>
      </c>
      <c r="E263" s="7" t="s">
        <v>759</v>
      </c>
      <c r="F263" s="19"/>
      <c r="G263" s="4">
        <f>IF(F263&gt;0,F263,IF(PrefetchDBSummary!$C$10="B",AJ263,8))</f>
        <v>8</v>
      </c>
      <c r="H263" s="4">
        <f>PrefetchDBSummary!$C$28</f>
        <v>10</v>
      </c>
      <c r="I263" s="4">
        <f>PrefetchDBSummary!$D$28</f>
        <v>0</v>
      </c>
      <c r="J263" s="5">
        <f t="shared" si="59"/>
        <v>18.096666666666668</v>
      </c>
      <c r="K263" s="4">
        <f t="shared" si="60"/>
        <v>8</v>
      </c>
      <c r="L263" s="4">
        <f t="shared" si="61"/>
        <v>80</v>
      </c>
      <c r="M263" s="5">
        <f t="shared" si="62"/>
        <v>4.295214843749999</v>
      </c>
      <c r="N263" s="17">
        <f t="shared" si="57"/>
        <v>921600</v>
      </c>
      <c r="O263" s="32">
        <f t="shared" si="58"/>
        <v>28.898437499999993</v>
      </c>
      <c r="AG263" t="s">
        <v>894</v>
      </c>
      <c r="AH263" t="s">
        <v>583</v>
      </c>
      <c r="AI263">
        <v>1</v>
      </c>
      <c r="AJ263">
        <v>14</v>
      </c>
      <c r="AK263">
        <v>5</v>
      </c>
      <c r="AL263">
        <v>2</v>
      </c>
      <c r="AM263">
        <v>181</v>
      </c>
      <c r="AN263">
        <v>283</v>
      </c>
      <c r="AO263">
        <v>128</v>
      </c>
      <c r="AP263" s="44">
        <v>0.8703125</v>
      </c>
      <c r="AQ263" s="27">
        <f t="shared" si="63"/>
        <v>1085.8</v>
      </c>
    </row>
    <row r="264" spans="1:43" ht="12.75">
      <c r="A264" s="18" t="s">
        <v>433</v>
      </c>
      <c r="B264" s="18" t="s">
        <v>2036</v>
      </c>
      <c r="C264" t="s">
        <v>1061</v>
      </c>
      <c r="D264" s="19">
        <v>0</v>
      </c>
      <c r="E264" s="7" t="s">
        <v>1269</v>
      </c>
      <c r="F264" s="19"/>
      <c r="G264" s="4">
        <f>IF(F264&gt;0,F264,IF(PrefetchDBSummary!$C$10="B",AJ264,8))</f>
        <v>8</v>
      </c>
      <c r="H264" s="4">
        <f>PrefetchDBSummary!$C$28</f>
        <v>10</v>
      </c>
      <c r="I264" s="4">
        <f>PrefetchDBSummary!$D$28</f>
        <v>0</v>
      </c>
      <c r="J264" s="5">
        <f t="shared" si="59"/>
        <v>1.34</v>
      </c>
      <c r="K264" s="4">
        <f t="shared" si="60"/>
        <v>0</v>
      </c>
      <c r="L264" s="4">
        <f t="shared" si="61"/>
        <v>0</v>
      </c>
      <c r="M264" s="5">
        <f t="shared" si="62"/>
        <v>0</v>
      </c>
      <c r="N264" s="17">
        <f t="shared" si="57"/>
        <v>0</v>
      </c>
      <c r="O264" s="32">
        <f t="shared" si="58"/>
        <v>0</v>
      </c>
      <c r="AG264" t="s">
        <v>1064</v>
      </c>
      <c r="AH264" t="s">
        <v>583</v>
      </c>
      <c r="AI264">
        <v>5</v>
      </c>
      <c r="AJ264">
        <v>32</v>
      </c>
      <c r="AK264">
        <v>8</v>
      </c>
      <c r="AL264">
        <v>0</v>
      </c>
      <c r="AM264">
        <v>2163</v>
      </c>
      <c r="AN264">
        <v>2163</v>
      </c>
      <c r="AO264">
        <v>2144</v>
      </c>
      <c r="AP264" s="44">
        <v>0.7213541666666667</v>
      </c>
      <c r="AQ264" s="27">
        <f t="shared" si="63"/>
        <v>402</v>
      </c>
    </row>
    <row r="265" spans="1:43" ht="12.75">
      <c r="A265" s="18" t="s">
        <v>433</v>
      </c>
      <c r="B265" s="18" t="s">
        <v>2036</v>
      </c>
      <c r="C265" t="s">
        <v>1062</v>
      </c>
      <c r="D265" s="19">
        <v>0</v>
      </c>
      <c r="E265" s="7" t="s">
        <v>1270</v>
      </c>
      <c r="F265" s="19"/>
      <c r="G265" s="4">
        <f>IF(F265&gt;0,F265,IF(PrefetchDBSummary!$C$10="B",AJ265,8))</f>
        <v>8</v>
      </c>
      <c r="H265" s="4">
        <f>PrefetchDBSummary!$C$28</f>
        <v>10</v>
      </c>
      <c r="I265" s="4">
        <f>PrefetchDBSummary!$D$28</f>
        <v>0</v>
      </c>
      <c r="J265" s="5">
        <f t="shared" si="59"/>
        <v>1.8466666666666667</v>
      </c>
      <c r="K265" s="4">
        <f t="shared" si="60"/>
        <v>0</v>
      </c>
      <c r="L265" s="4">
        <f t="shared" si="61"/>
        <v>0</v>
      </c>
      <c r="M265" s="5">
        <f t="shared" si="62"/>
        <v>0</v>
      </c>
      <c r="N265" s="17">
        <f t="shared" si="57"/>
        <v>0</v>
      </c>
      <c r="O265" s="32">
        <f t="shared" si="58"/>
        <v>0</v>
      </c>
      <c r="AG265" t="s">
        <v>1065</v>
      </c>
      <c r="AH265" t="s">
        <v>583</v>
      </c>
      <c r="AI265">
        <v>5</v>
      </c>
      <c r="AJ265">
        <v>8</v>
      </c>
      <c r="AK265">
        <v>16</v>
      </c>
      <c r="AL265">
        <v>3</v>
      </c>
      <c r="AM265">
        <v>1216</v>
      </c>
      <c r="AN265">
        <v>1273</v>
      </c>
      <c r="AO265">
        <v>1120</v>
      </c>
      <c r="AP265" s="44">
        <v>0.7213541666666667</v>
      </c>
      <c r="AQ265" s="27">
        <f t="shared" si="63"/>
        <v>554</v>
      </c>
    </row>
    <row r="266" spans="1:43" ht="12.75">
      <c r="A266" s="18" t="s">
        <v>433</v>
      </c>
      <c r="B266" s="18" t="s">
        <v>2036</v>
      </c>
      <c r="C266" t="s">
        <v>1063</v>
      </c>
      <c r="D266" s="19">
        <v>0</v>
      </c>
      <c r="E266" s="7" t="s">
        <v>1271</v>
      </c>
      <c r="F266" s="19"/>
      <c r="G266" s="4">
        <f>IF(F266&gt;0,F266,IF(PrefetchDBSummary!$C$10="B",AJ266,8))</f>
        <v>8</v>
      </c>
      <c r="H266" s="4">
        <f>PrefetchDBSummary!$C$28</f>
        <v>10</v>
      </c>
      <c r="I266" s="4">
        <f>PrefetchDBSummary!$D$28</f>
        <v>0</v>
      </c>
      <c r="J266" s="5">
        <f t="shared" si="59"/>
        <v>11.45</v>
      </c>
      <c r="K266" s="4">
        <f t="shared" si="60"/>
        <v>0</v>
      </c>
      <c r="L266" s="4">
        <f t="shared" si="61"/>
        <v>0</v>
      </c>
      <c r="M266" s="5">
        <f t="shared" si="62"/>
        <v>0</v>
      </c>
      <c r="N266" s="17">
        <f t="shared" si="57"/>
        <v>0</v>
      </c>
      <c r="O266" s="32">
        <f t="shared" si="58"/>
        <v>0</v>
      </c>
      <c r="AG266" t="s">
        <v>1066</v>
      </c>
      <c r="AH266" t="s">
        <v>583</v>
      </c>
      <c r="AI266">
        <v>1</v>
      </c>
      <c r="AJ266">
        <v>8</v>
      </c>
      <c r="AK266">
        <v>23</v>
      </c>
      <c r="AL266">
        <v>5</v>
      </c>
      <c r="AM266">
        <v>5167</v>
      </c>
      <c r="AN266">
        <v>5378</v>
      </c>
      <c r="AO266">
        <v>5088</v>
      </c>
      <c r="AP266" s="44">
        <v>0.7213541666666667</v>
      </c>
      <c r="AQ266" s="27">
        <f t="shared" si="63"/>
        <v>687</v>
      </c>
    </row>
    <row r="267" spans="1:43" ht="12.75">
      <c r="A267" s="18" t="s">
        <v>433</v>
      </c>
      <c r="B267" s="18" t="s">
        <v>2036</v>
      </c>
      <c r="C267" t="s">
        <v>151</v>
      </c>
      <c r="D267" s="19">
        <v>4</v>
      </c>
      <c r="E267" s="7" t="s">
        <v>760</v>
      </c>
      <c r="F267" s="19"/>
      <c r="G267" s="4">
        <f>IF(F267&gt;0,F267,IF(PrefetchDBSummary!$C$10="B",AJ267,8))</f>
        <v>8</v>
      </c>
      <c r="H267" s="4">
        <f>PrefetchDBSummary!$C$28</f>
        <v>10</v>
      </c>
      <c r="I267" s="4">
        <f>PrefetchDBSummary!$D$28</f>
        <v>0</v>
      </c>
      <c r="J267" s="5">
        <f t="shared" si="59"/>
        <v>20.66163194444444</v>
      </c>
      <c r="K267" s="4">
        <f t="shared" si="60"/>
        <v>4</v>
      </c>
      <c r="L267" s="4">
        <f t="shared" si="61"/>
        <v>40</v>
      </c>
      <c r="M267" s="5">
        <f t="shared" si="62"/>
        <v>4.163085937499999</v>
      </c>
      <c r="N267" s="17">
        <f t="shared" si="57"/>
        <v>460800</v>
      </c>
      <c r="O267" s="32">
        <f t="shared" si="58"/>
        <v>18.793258666992184</v>
      </c>
      <c r="AG267" t="s">
        <v>152</v>
      </c>
      <c r="AH267" t="s">
        <v>583</v>
      </c>
      <c r="AI267">
        <v>1</v>
      </c>
      <c r="AJ267">
        <v>32</v>
      </c>
      <c r="AK267">
        <v>15</v>
      </c>
      <c r="AL267">
        <v>7</v>
      </c>
      <c r="AM267">
        <v>252</v>
      </c>
      <c r="AN267">
        <v>553</v>
      </c>
      <c r="AO267">
        <v>137</v>
      </c>
      <c r="AP267" s="44">
        <v>0.7213541666666667</v>
      </c>
      <c r="AQ267" s="27">
        <f t="shared" si="63"/>
        <v>1239.6979166666665</v>
      </c>
    </row>
    <row r="268" spans="1:43" ht="12.75">
      <c r="A268" s="18" t="s">
        <v>433</v>
      </c>
      <c r="B268" s="18" t="s">
        <v>2036</v>
      </c>
      <c r="C268" t="s">
        <v>155</v>
      </c>
      <c r="D268" s="19">
        <v>14</v>
      </c>
      <c r="E268" s="7" t="s">
        <v>761</v>
      </c>
      <c r="F268" s="19"/>
      <c r="G268" s="4">
        <f>IF(F268&gt;0,F268,IF(PrefetchDBSummary!$C$10="B",AJ268,8))</f>
        <v>8</v>
      </c>
      <c r="H268" s="4">
        <f>PrefetchDBSummary!$C$28</f>
        <v>10</v>
      </c>
      <c r="I268" s="4">
        <f>PrefetchDBSummary!$D$28</f>
        <v>0</v>
      </c>
      <c r="J268" s="5">
        <f t="shared" si="59"/>
        <v>63.048</v>
      </c>
      <c r="K268" s="4">
        <f t="shared" si="60"/>
        <v>14</v>
      </c>
      <c r="L268" s="4">
        <f t="shared" si="61"/>
        <v>140</v>
      </c>
      <c r="M268" s="5">
        <f t="shared" si="62"/>
        <v>42.052841796875</v>
      </c>
      <c r="N268" s="17">
        <f t="shared" si="57"/>
        <v>1612800</v>
      </c>
      <c r="O268" s="32">
        <f t="shared" si="58"/>
        <v>280.41767578124995</v>
      </c>
      <c r="AG268" t="s">
        <v>156</v>
      </c>
      <c r="AH268" t="s">
        <v>583</v>
      </c>
      <c r="AI268">
        <v>1</v>
      </c>
      <c r="AJ268">
        <v>32</v>
      </c>
      <c r="AK268">
        <v>11</v>
      </c>
      <c r="AL268">
        <v>5</v>
      </c>
      <c r="AM268">
        <v>1027</v>
      </c>
      <c r="AN268">
        <v>1242</v>
      </c>
      <c r="AO268">
        <v>928</v>
      </c>
      <c r="AP268" s="44">
        <v>0.875625</v>
      </c>
      <c r="AQ268" s="27">
        <f t="shared" si="63"/>
        <v>3782.88</v>
      </c>
    </row>
    <row r="269" spans="1:43" ht="12.75">
      <c r="A269" s="18" t="s">
        <v>433</v>
      </c>
      <c r="B269" s="18" t="s">
        <v>2036</v>
      </c>
      <c r="C269" t="s">
        <v>661</v>
      </c>
      <c r="D269" s="19">
        <v>1</v>
      </c>
      <c r="E269" s="7" t="str">
        <f>IF(AH269="S","Always one row per interval","")</f>
        <v>Always one row per interval</v>
      </c>
      <c r="F269" s="19"/>
      <c r="G269" s="4">
        <f>IF(F269&gt;0,F269,IF(PrefetchDBSummary!$C$10="B",AJ269,8))</f>
        <v>8</v>
      </c>
      <c r="H269" s="4">
        <f>PrefetchDBSummary!$C$28</f>
        <v>10</v>
      </c>
      <c r="I269" s="4">
        <f>PrefetchDBSummary!$D$28</f>
        <v>0</v>
      </c>
      <c r="J269" s="5">
        <f t="shared" si="59"/>
        <v>11.71</v>
      </c>
      <c r="K269" s="4">
        <f t="shared" si="60"/>
        <v>1</v>
      </c>
      <c r="L269" s="4">
        <f t="shared" si="61"/>
        <v>10</v>
      </c>
      <c r="M269" s="5">
        <f t="shared" si="62"/>
        <v>1.122265625</v>
      </c>
      <c r="N269" s="17">
        <f t="shared" si="57"/>
        <v>115200</v>
      </c>
      <c r="O269" s="32">
        <f t="shared" si="58"/>
        <v>4.293457031249999</v>
      </c>
      <c r="AG269" t="s">
        <v>662</v>
      </c>
      <c r="AH269" t="s">
        <v>582</v>
      </c>
      <c r="AI269">
        <v>1</v>
      </c>
      <c r="AJ269">
        <v>32</v>
      </c>
      <c r="AK269">
        <v>13</v>
      </c>
      <c r="AL269">
        <v>11</v>
      </c>
      <c r="AM269">
        <v>221</v>
      </c>
      <c r="AN269">
        <v>718</v>
      </c>
      <c r="AO269">
        <v>64</v>
      </c>
      <c r="AP269" s="44"/>
      <c r="AQ269" s="27">
        <f t="shared" si="63"/>
        <v>702.6</v>
      </c>
    </row>
    <row r="270" spans="1:43" ht="12.75">
      <c r="A270" s="18" t="s">
        <v>433</v>
      </c>
      <c r="B270" s="18" t="s">
        <v>2036</v>
      </c>
      <c r="C270" t="s">
        <v>157</v>
      </c>
      <c r="D270" s="19">
        <v>1</v>
      </c>
      <c r="E270" s="7" t="str">
        <f>IF(AH270="S","Always one row per interval","")</f>
        <v>Always one row per interval</v>
      </c>
      <c r="F270" s="19"/>
      <c r="G270" s="4">
        <f>IF(F270&gt;0,F270,IF(PrefetchDBSummary!$C$10="B",AJ270,8))</f>
        <v>8</v>
      </c>
      <c r="H270" s="4">
        <f>PrefetchDBSummary!$C$28</f>
        <v>10</v>
      </c>
      <c r="I270" s="4">
        <f>PrefetchDBSummary!$D$28</f>
        <v>0</v>
      </c>
      <c r="J270" s="5">
        <f t="shared" si="59"/>
        <v>3.0866666666666664</v>
      </c>
      <c r="K270" s="4">
        <f t="shared" si="60"/>
        <v>0.2</v>
      </c>
      <c r="L270" s="4">
        <f t="shared" si="61"/>
        <v>2</v>
      </c>
      <c r="M270" s="5">
        <f t="shared" si="62"/>
        <v>0.28544921875</v>
      </c>
      <c r="N270" s="17">
        <f t="shared" si="57"/>
        <v>23040</v>
      </c>
      <c r="O270" s="32">
        <f t="shared" si="58"/>
        <v>1.2963867187499998</v>
      </c>
      <c r="AG270" t="s">
        <v>158</v>
      </c>
      <c r="AH270" t="s">
        <v>582</v>
      </c>
      <c r="AI270">
        <v>5</v>
      </c>
      <c r="AJ270">
        <v>32</v>
      </c>
      <c r="AK270">
        <v>20</v>
      </c>
      <c r="AL270">
        <v>16</v>
      </c>
      <c r="AM270">
        <v>316</v>
      </c>
      <c r="AN270">
        <v>1060</v>
      </c>
      <c r="AO270">
        <v>64</v>
      </c>
      <c r="AP270" s="44">
        <v>0.671875</v>
      </c>
      <c r="AQ270" s="27">
        <f t="shared" si="63"/>
        <v>926</v>
      </c>
    </row>
    <row r="271" spans="1:43" ht="12.75">
      <c r="A271" s="18" t="s">
        <v>433</v>
      </c>
      <c r="B271" s="18" t="s">
        <v>2036</v>
      </c>
      <c r="C271" t="s">
        <v>663</v>
      </c>
      <c r="D271" s="19">
        <v>5</v>
      </c>
      <c r="E271" s="7" t="s">
        <v>710</v>
      </c>
      <c r="F271" s="19"/>
      <c r="G271" s="4">
        <f>IF(F271&gt;0,F271,IF(PrefetchDBSummary!$C$10="B",AJ271,8))</f>
        <v>8</v>
      </c>
      <c r="H271" s="4">
        <f>PrefetchDBSummary!$C$28</f>
        <v>10</v>
      </c>
      <c r="I271" s="4">
        <f>PrefetchDBSummary!$D$28</f>
        <v>0</v>
      </c>
      <c r="J271" s="5">
        <f t="shared" si="59"/>
        <v>2.777083333333333</v>
      </c>
      <c r="K271" s="4">
        <f t="shared" si="60"/>
        <v>0.625</v>
      </c>
      <c r="L271" s="4">
        <f t="shared" si="61"/>
        <v>6.25</v>
      </c>
      <c r="M271" s="5">
        <f t="shared" si="62"/>
        <v>0.993408203125</v>
      </c>
      <c r="N271" s="17">
        <f t="shared" si="57"/>
        <v>72000</v>
      </c>
      <c r="O271" s="32">
        <f t="shared" si="58"/>
        <v>2.8921508789062496</v>
      </c>
      <c r="AG271" t="s">
        <v>664</v>
      </c>
      <c r="AH271" t="s">
        <v>583</v>
      </c>
      <c r="AI271">
        <v>8</v>
      </c>
      <c r="AJ271">
        <v>8</v>
      </c>
      <c r="AK271">
        <v>9</v>
      </c>
      <c r="AL271">
        <v>0</v>
      </c>
      <c r="AM271">
        <v>313</v>
      </c>
      <c r="AN271">
        <v>313</v>
      </c>
      <c r="AO271">
        <v>256</v>
      </c>
      <c r="AP271" s="44"/>
      <c r="AQ271" s="27">
        <f t="shared" si="63"/>
        <v>1333</v>
      </c>
    </row>
    <row r="272" spans="1:43" ht="12.75">
      <c r="A272" s="18" t="s">
        <v>433</v>
      </c>
      <c r="B272" s="18" t="s">
        <v>2036</v>
      </c>
      <c r="C272" t="s">
        <v>70</v>
      </c>
      <c r="D272" s="19">
        <v>4</v>
      </c>
      <c r="E272" s="7" t="s">
        <v>760</v>
      </c>
      <c r="F272" s="19"/>
      <c r="G272" s="4">
        <f>IF(F272&gt;0,F272,IF(PrefetchDBSummary!$C$10="B",AJ272,8))</f>
        <v>8</v>
      </c>
      <c r="H272" s="4">
        <f>PrefetchDBSummary!$C$28</f>
        <v>10</v>
      </c>
      <c r="I272" s="4">
        <f>PrefetchDBSummary!$D$28</f>
        <v>0</v>
      </c>
      <c r="J272" s="5">
        <f t="shared" si="59"/>
        <v>1.6395833333333334</v>
      </c>
      <c r="K272" s="4">
        <f t="shared" si="60"/>
        <v>0.5</v>
      </c>
      <c r="L272" s="4">
        <f t="shared" si="61"/>
        <v>5</v>
      </c>
      <c r="M272" s="5">
        <f t="shared" si="62"/>
        <v>0.8043161834600759</v>
      </c>
      <c r="N272" s="17">
        <f t="shared" si="57"/>
        <v>57600</v>
      </c>
      <c r="O272" s="32">
        <f t="shared" si="58"/>
        <v>5.278930664062499</v>
      </c>
      <c r="AG272" t="s">
        <v>71</v>
      </c>
      <c r="AH272" t="s">
        <v>583</v>
      </c>
      <c r="AI272">
        <v>8</v>
      </c>
      <c r="AJ272">
        <v>8</v>
      </c>
      <c r="AK272">
        <v>5</v>
      </c>
      <c r="AL272">
        <v>0</v>
      </c>
      <c r="AM272">
        <v>547</v>
      </c>
      <c r="AN272">
        <v>547</v>
      </c>
      <c r="AO272">
        <v>526</v>
      </c>
      <c r="AP272" s="44">
        <v>0.873574144486692</v>
      </c>
      <c r="AQ272" s="27">
        <f t="shared" si="63"/>
        <v>787</v>
      </c>
    </row>
    <row r="273" spans="1:43" ht="12.75">
      <c r="A273" s="18" t="s">
        <v>433</v>
      </c>
      <c r="B273" s="18" t="s">
        <v>2036</v>
      </c>
      <c r="C273" t="s">
        <v>23</v>
      </c>
      <c r="D273" s="19">
        <v>1</v>
      </c>
      <c r="E273" s="7" t="str">
        <f>IF(AH273="S","Always one row per interval","")</f>
        <v>Always one row per interval</v>
      </c>
      <c r="F273" s="19"/>
      <c r="G273" s="4">
        <f>IF(F273&gt;0,F273,IF(PrefetchDBSummary!$C$10="B",AJ273,8))</f>
        <v>8</v>
      </c>
      <c r="H273" s="4">
        <f>PrefetchDBSummary!$C$28</f>
        <v>10</v>
      </c>
      <c r="I273" s="4">
        <f>PrefetchDBSummary!$D$28</f>
        <v>0</v>
      </c>
      <c r="J273" s="5">
        <f t="shared" si="59"/>
        <v>1.1979166666666667</v>
      </c>
      <c r="K273" s="4">
        <f t="shared" si="60"/>
        <v>0.125</v>
      </c>
      <c r="L273" s="4">
        <f t="shared" si="61"/>
        <v>1.25</v>
      </c>
      <c r="M273" s="5">
        <f t="shared" si="62"/>
        <v>0.2912571262668918</v>
      </c>
      <c r="N273" s="17">
        <f t="shared" si="57"/>
        <v>14400</v>
      </c>
      <c r="O273" s="32">
        <f t="shared" si="58"/>
        <v>1.8319702148437496</v>
      </c>
      <c r="AG273" t="s">
        <v>24</v>
      </c>
      <c r="AH273" t="s">
        <v>582</v>
      </c>
      <c r="AI273">
        <v>8</v>
      </c>
      <c r="AJ273">
        <v>8</v>
      </c>
      <c r="AK273">
        <v>9</v>
      </c>
      <c r="AL273">
        <v>0</v>
      </c>
      <c r="AM273">
        <v>769</v>
      </c>
      <c r="AN273">
        <v>769</v>
      </c>
      <c r="AO273">
        <v>740</v>
      </c>
      <c r="AP273" s="44">
        <v>0.8621621621621621</v>
      </c>
      <c r="AQ273" s="27">
        <f t="shared" si="63"/>
        <v>575</v>
      </c>
    </row>
    <row r="274" spans="1:43" ht="12.75">
      <c r="A274" s="18" t="s">
        <v>433</v>
      </c>
      <c r="B274" s="18" t="s">
        <v>2036</v>
      </c>
      <c r="C274" t="s">
        <v>355</v>
      </c>
      <c r="D274" s="19">
        <v>1</v>
      </c>
      <c r="E274" s="7" t="s">
        <v>710</v>
      </c>
      <c r="F274" s="19"/>
      <c r="G274" s="4">
        <f>IF(F274&gt;0,F274,IF(PrefetchDBSummary!$C$10="B",AJ274,8))</f>
        <v>8</v>
      </c>
      <c r="H274" s="4">
        <f>PrefetchDBSummary!$C$28</f>
        <v>10</v>
      </c>
      <c r="I274" s="4">
        <f>PrefetchDBSummary!$D$28</f>
        <v>0</v>
      </c>
      <c r="J274" s="5">
        <f t="shared" si="59"/>
        <v>0.9760416666666667</v>
      </c>
      <c r="K274" s="4">
        <f t="shared" si="60"/>
        <v>0.125</v>
      </c>
      <c r="L274" s="4">
        <f t="shared" si="61"/>
        <v>1.25</v>
      </c>
      <c r="M274" s="5">
        <f t="shared" si="62"/>
        <v>0.18075942993164062</v>
      </c>
      <c r="N274" s="17">
        <f t="shared" si="57"/>
        <v>14400</v>
      </c>
      <c r="O274" s="32">
        <f t="shared" si="58"/>
        <v>0.8940124511718748</v>
      </c>
      <c r="AG274" t="s">
        <v>74</v>
      </c>
      <c r="AH274" t="s">
        <v>583</v>
      </c>
      <c r="AI274">
        <v>8</v>
      </c>
      <c r="AJ274">
        <v>8</v>
      </c>
      <c r="AK274">
        <v>5</v>
      </c>
      <c r="AL274">
        <v>0</v>
      </c>
      <c r="AM274">
        <v>405</v>
      </c>
      <c r="AN274">
        <v>405</v>
      </c>
      <c r="AO274">
        <v>384</v>
      </c>
      <c r="AP274" s="44">
        <v>0.79296875</v>
      </c>
      <c r="AQ274" s="27">
        <f t="shared" si="63"/>
        <v>468.5</v>
      </c>
    </row>
    <row r="275" spans="1:43" ht="12.75">
      <c r="A275" s="7" t="s">
        <v>2147</v>
      </c>
      <c r="B275" s="7" t="s">
        <v>2148</v>
      </c>
      <c r="C275" t="s">
        <v>2155</v>
      </c>
      <c r="D275" s="19">
        <v>1</v>
      </c>
      <c r="E275" s="7" t="s">
        <v>710</v>
      </c>
      <c r="F275" s="19"/>
      <c r="G275" s="4">
        <f>IF(F275&gt;0,F275,IF(PrefetchDBSummary!$C$10="B",AJ275,8))</f>
        <v>8</v>
      </c>
      <c r="H275" s="4">
        <f>PrefetchDBSummary!$C$48</f>
        <v>0</v>
      </c>
      <c r="I275" s="4">
        <f>PrefetchDBSummary!$D$48</f>
        <v>0</v>
      </c>
      <c r="J275" s="5">
        <f aca="true" t="shared" si="64" ref="J275:J281">IF(H275&gt;0,(AQ275)/(AI275*60),IF(I275&gt;0,(AQ275)/(5*60),0))</f>
        <v>0</v>
      </c>
      <c r="K275" s="4">
        <f aca="true" t="shared" si="65" ref="K275:K281">IF(H275&gt;0,D275/AI275,IF(I275&gt;0,D275/5,0))</f>
        <v>0</v>
      </c>
      <c r="L275" s="4">
        <f aca="true" t="shared" si="66" ref="L275:L281">H275*D275/AI275+I275*D275/5</f>
        <v>0</v>
      </c>
      <c r="M275" s="5">
        <f aca="true" t="shared" si="67" ref="M275:M281">L275*AM275*(1-IF(AP275&gt;0,AP275,$AS$2)*$AS$3)/1024</f>
        <v>0</v>
      </c>
      <c r="N275" s="17">
        <f aca="true" t="shared" si="68" ref="N275:N281">L275*60*24*IF(G275&gt;0,G275,(G275))</f>
        <v>0</v>
      </c>
      <c r="O275" s="32">
        <f aca="true" t="shared" si="69" ref="O275:O281">N275*($AM275-$AO275*IF($AP275&gt;0,1-$AP275,1-$AS$2))*(1-$AS$3)/1024/1024</f>
        <v>0</v>
      </c>
      <c r="AG275" t="s">
        <v>2162</v>
      </c>
      <c r="AH275" t="s">
        <v>582</v>
      </c>
      <c r="AI275">
        <v>1</v>
      </c>
      <c r="AJ275">
        <v>32</v>
      </c>
      <c r="AK275">
        <v>2</v>
      </c>
      <c r="AL275">
        <v>0</v>
      </c>
      <c r="AM275">
        <v>38</v>
      </c>
      <c r="AN275">
        <v>38</v>
      </c>
      <c r="AO275">
        <v>32</v>
      </c>
      <c r="AP275" s="44">
        <v>0.79296875</v>
      </c>
      <c r="AQ275" s="27">
        <f aca="true" t="shared" si="70" ref="AQ275:AQ281">250+19*AK275+D275*(23+(AM275-AO275)+AO275*(1-IF(AP275&gt;0,AP275,$AS$2)))</f>
        <v>323.625</v>
      </c>
    </row>
    <row r="276" spans="1:43" ht="12.75">
      <c r="A276" s="7" t="s">
        <v>2147</v>
      </c>
      <c r="B276" s="7" t="s">
        <v>2148</v>
      </c>
      <c r="C276" t="s">
        <v>2156</v>
      </c>
      <c r="D276" s="19">
        <v>4</v>
      </c>
      <c r="E276" s="7" t="s">
        <v>2169</v>
      </c>
      <c r="F276" s="19"/>
      <c r="G276" s="4">
        <f>IF(F276&gt;0,F276,IF(PrefetchDBSummary!$C$10="B",AJ276,8))</f>
        <v>8</v>
      </c>
      <c r="H276" s="4">
        <f>PrefetchDBSummary!$C$48</f>
        <v>0</v>
      </c>
      <c r="I276" s="4">
        <f>PrefetchDBSummary!$D$48</f>
        <v>0</v>
      </c>
      <c r="J276" s="5">
        <f t="shared" si="64"/>
        <v>0</v>
      </c>
      <c r="K276" s="4">
        <f t="shared" si="65"/>
        <v>0</v>
      </c>
      <c r="L276" s="4">
        <f t="shared" si="66"/>
        <v>0</v>
      </c>
      <c r="M276" s="5">
        <f t="shared" si="67"/>
        <v>0</v>
      </c>
      <c r="N276" s="17">
        <f t="shared" si="68"/>
        <v>0</v>
      </c>
      <c r="O276" s="32">
        <f t="shared" si="69"/>
        <v>0</v>
      </c>
      <c r="AG276" t="s">
        <v>2163</v>
      </c>
      <c r="AH276" t="s">
        <v>582</v>
      </c>
      <c r="AI276">
        <v>1</v>
      </c>
      <c r="AJ276">
        <v>32</v>
      </c>
      <c r="AK276">
        <v>3</v>
      </c>
      <c r="AL276">
        <v>0</v>
      </c>
      <c r="AM276">
        <v>55</v>
      </c>
      <c r="AN276">
        <v>55</v>
      </c>
      <c r="AO276">
        <v>32</v>
      </c>
      <c r="AP276" s="44">
        <v>0.79296875</v>
      </c>
      <c r="AQ276" s="27">
        <f t="shared" si="70"/>
        <v>517.5</v>
      </c>
    </row>
    <row r="277" spans="1:43" ht="12.75">
      <c r="A277" s="7" t="s">
        <v>2147</v>
      </c>
      <c r="B277" s="7" t="s">
        <v>2148</v>
      </c>
      <c r="C277" t="s">
        <v>2158</v>
      </c>
      <c r="D277" s="19">
        <v>1</v>
      </c>
      <c r="E277" s="7" t="s">
        <v>710</v>
      </c>
      <c r="F277" s="19"/>
      <c r="G277" s="4">
        <f>IF(F277&gt;0,F277,IF(PrefetchDBSummary!$C$10="B",AJ277,8))</f>
        <v>8</v>
      </c>
      <c r="H277" s="4">
        <f>PrefetchDBSummary!$C$48</f>
        <v>0</v>
      </c>
      <c r="I277" s="4">
        <f>PrefetchDBSummary!$D$48</f>
        <v>0</v>
      </c>
      <c r="J277" s="5">
        <f t="shared" si="64"/>
        <v>0</v>
      </c>
      <c r="K277" s="4">
        <f t="shared" si="65"/>
        <v>0</v>
      </c>
      <c r="L277" s="4">
        <f t="shared" si="66"/>
        <v>0</v>
      </c>
      <c r="M277" s="5">
        <f t="shared" si="67"/>
        <v>0</v>
      </c>
      <c r="N277" s="17">
        <f t="shared" si="68"/>
        <v>0</v>
      </c>
      <c r="O277" s="32">
        <f t="shared" si="69"/>
        <v>0</v>
      </c>
      <c r="AG277" t="s">
        <v>2165</v>
      </c>
      <c r="AH277" t="s">
        <v>582</v>
      </c>
      <c r="AI277">
        <v>60</v>
      </c>
      <c r="AJ277">
        <v>8</v>
      </c>
      <c r="AK277">
        <v>5</v>
      </c>
      <c r="AL277">
        <v>0</v>
      </c>
      <c r="AM277">
        <v>65</v>
      </c>
      <c r="AN277">
        <v>65</v>
      </c>
      <c r="AO277">
        <v>32</v>
      </c>
      <c r="AP277" s="44">
        <v>0.79296875</v>
      </c>
      <c r="AQ277" s="27">
        <f t="shared" si="70"/>
        <v>407.625</v>
      </c>
    </row>
    <row r="278" spans="1:43" ht="12.75">
      <c r="A278" s="7" t="s">
        <v>2147</v>
      </c>
      <c r="B278" s="7" t="s">
        <v>2148</v>
      </c>
      <c r="C278" t="s">
        <v>2157</v>
      </c>
      <c r="D278" s="19">
        <v>96</v>
      </c>
      <c r="E278" s="7"/>
      <c r="F278" s="19"/>
      <c r="G278" s="4">
        <f>IF(F278&gt;0,F278,IF(PrefetchDBSummary!$C$10="B",AJ278,8))</f>
        <v>8</v>
      </c>
      <c r="H278" s="4">
        <f>PrefetchDBSummary!$C$48</f>
        <v>0</v>
      </c>
      <c r="I278" s="4">
        <f>PrefetchDBSummary!$D$48</f>
        <v>0</v>
      </c>
      <c r="J278" s="5">
        <f t="shared" si="64"/>
        <v>0</v>
      </c>
      <c r="K278" s="4">
        <f t="shared" si="65"/>
        <v>0</v>
      </c>
      <c r="L278" s="4">
        <f t="shared" si="66"/>
        <v>0</v>
      </c>
      <c r="M278" s="5">
        <f t="shared" si="67"/>
        <v>0</v>
      </c>
      <c r="N278" s="17">
        <f t="shared" si="68"/>
        <v>0</v>
      </c>
      <c r="O278" s="32">
        <f t="shared" si="69"/>
        <v>0</v>
      </c>
      <c r="AG278" t="s">
        <v>2164</v>
      </c>
      <c r="AH278" t="s">
        <v>583</v>
      </c>
      <c r="AI278">
        <v>1</v>
      </c>
      <c r="AJ278">
        <v>32</v>
      </c>
      <c r="AK278">
        <v>24</v>
      </c>
      <c r="AL278">
        <v>0</v>
      </c>
      <c r="AM278">
        <v>292</v>
      </c>
      <c r="AN278">
        <v>292</v>
      </c>
      <c r="AO278">
        <v>32</v>
      </c>
      <c r="AP278" s="44">
        <v>0.79296875</v>
      </c>
      <c r="AQ278" s="27">
        <f t="shared" si="70"/>
        <v>28510</v>
      </c>
    </row>
    <row r="279" spans="1:43" ht="12.75">
      <c r="A279" s="7" t="s">
        <v>2147</v>
      </c>
      <c r="B279" s="7" t="s">
        <v>2148</v>
      </c>
      <c r="C279" t="s">
        <v>2160</v>
      </c>
      <c r="D279" s="19">
        <v>19</v>
      </c>
      <c r="E279" s="7"/>
      <c r="F279" s="19"/>
      <c r="G279" s="4">
        <f>IF(F279&gt;0,F279,IF(PrefetchDBSummary!$C$10="B",AJ279,8))</f>
        <v>8</v>
      </c>
      <c r="H279" s="4">
        <f>PrefetchDBSummary!$C$48</f>
        <v>0</v>
      </c>
      <c r="I279" s="4">
        <f>PrefetchDBSummary!$D$48</f>
        <v>0</v>
      </c>
      <c r="J279" s="5">
        <f t="shared" si="64"/>
        <v>0</v>
      </c>
      <c r="K279" s="4">
        <f t="shared" si="65"/>
        <v>0</v>
      </c>
      <c r="L279" s="4">
        <f t="shared" si="66"/>
        <v>0</v>
      </c>
      <c r="M279" s="5">
        <f t="shared" si="67"/>
        <v>0</v>
      </c>
      <c r="N279" s="17">
        <f t="shared" si="68"/>
        <v>0</v>
      </c>
      <c r="O279" s="32">
        <f t="shared" si="69"/>
        <v>0</v>
      </c>
      <c r="AG279" t="s">
        <v>2167</v>
      </c>
      <c r="AH279" t="s">
        <v>582</v>
      </c>
      <c r="AI279">
        <v>1</v>
      </c>
      <c r="AJ279">
        <v>32</v>
      </c>
      <c r="AK279">
        <v>8</v>
      </c>
      <c r="AL279">
        <v>0</v>
      </c>
      <c r="AM279">
        <v>80</v>
      </c>
      <c r="AN279">
        <v>80</v>
      </c>
      <c r="AO279">
        <v>32</v>
      </c>
      <c r="AP279" s="44">
        <v>0.79296875</v>
      </c>
      <c r="AQ279" s="27">
        <f t="shared" si="70"/>
        <v>1876.875</v>
      </c>
    </row>
    <row r="280" spans="1:43" ht="12.75">
      <c r="A280" s="7" t="s">
        <v>2147</v>
      </c>
      <c r="B280" s="7" t="s">
        <v>2148</v>
      </c>
      <c r="C280" t="s">
        <v>2161</v>
      </c>
      <c r="D280" s="19">
        <v>1</v>
      </c>
      <c r="E280" s="7" t="s">
        <v>710</v>
      </c>
      <c r="F280" s="19"/>
      <c r="G280" s="4">
        <f>IF(F280&gt;0,F280,IF(PrefetchDBSummary!$C$10="B",AJ280,8))</f>
        <v>8</v>
      </c>
      <c r="H280" s="4">
        <f>PrefetchDBSummary!$C$48</f>
        <v>0</v>
      </c>
      <c r="I280" s="4">
        <f>PrefetchDBSummary!$D$48</f>
        <v>0</v>
      </c>
      <c r="J280" s="5">
        <f t="shared" si="64"/>
        <v>0</v>
      </c>
      <c r="K280" s="4">
        <f t="shared" si="65"/>
        <v>0</v>
      </c>
      <c r="L280" s="4">
        <f t="shared" si="66"/>
        <v>0</v>
      </c>
      <c r="M280" s="5">
        <f t="shared" si="67"/>
        <v>0</v>
      </c>
      <c r="N280" s="17">
        <f t="shared" si="68"/>
        <v>0</v>
      </c>
      <c r="O280" s="32">
        <f t="shared" si="69"/>
        <v>0</v>
      </c>
      <c r="AG280" t="s">
        <v>2168</v>
      </c>
      <c r="AH280" t="s">
        <v>582</v>
      </c>
      <c r="AI280">
        <v>1</v>
      </c>
      <c r="AJ280">
        <v>32</v>
      </c>
      <c r="AK280">
        <v>14</v>
      </c>
      <c r="AL280">
        <v>0</v>
      </c>
      <c r="AM280">
        <v>1670</v>
      </c>
      <c r="AN280">
        <v>1670</v>
      </c>
      <c r="AO280">
        <v>1572</v>
      </c>
      <c r="AP280" s="44">
        <v>0.79296875</v>
      </c>
      <c r="AQ280" s="27">
        <f t="shared" si="70"/>
        <v>962.453125</v>
      </c>
    </row>
    <row r="281" spans="1:43" ht="12.75">
      <c r="A281" s="7" t="s">
        <v>2147</v>
      </c>
      <c r="B281" s="7" t="s">
        <v>2148</v>
      </c>
      <c r="C281" t="s">
        <v>2159</v>
      </c>
      <c r="D281" s="19">
        <v>1</v>
      </c>
      <c r="E281" s="7" t="s">
        <v>710</v>
      </c>
      <c r="F281" s="19"/>
      <c r="G281" s="4">
        <f>IF(F281&gt;0,F281,IF(PrefetchDBSummary!$C$10="B",AJ281,8))</f>
        <v>8</v>
      </c>
      <c r="H281" s="4">
        <f>PrefetchDBSummary!$C$48</f>
        <v>0</v>
      </c>
      <c r="I281" s="4">
        <f>PrefetchDBSummary!$D$48</f>
        <v>0</v>
      </c>
      <c r="J281" s="5">
        <f t="shared" si="64"/>
        <v>0</v>
      </c>
      <c r="K281" s="4">
        <f t="shared" si="65"/>
        <v>0</v>
      </c>
      <c r="L281" s="4">
        <f t="shared" si="66"/>
        <v>0</v>
      </c>
      <c r="M281" s="5">
        <f t="shared" si="67"/>
        <v>0</v>
      </c>
      <c r="N281" s="17">
        <f t="shared" si="68"/>
        <v>0</v>
      </c>
      <c r="O281" s="32">
        <f t="shared" si="69"/>
        <v>0</v>
      </c>
      <c r="AG281" t="s">
        <v>2166</v>
      </c>
      <c r="AH281" t="s">
        <v>582</v>
      </c>
      <c r="AI281">
        <v>1</v>
      </c>
      <c r="AJ281">
        <v>32</v>
      </c>
      <c r="AK281">
        <v>2</v>
      </c>
      <c r="AL281">
        <v>0</v>
      </c>
      <c r="AM281">
        <v>50</v>
      </c>
      <c r="AN281">
        <v>50</v>
      </c>
      <c r="AO281">
        <v>32</v>
      </c>
      <c r="AP281" s="44">
        <v>0.79296875</v>
      </c>
      <c r="AQ281" s="27">
        <f t="shared" si="70"/>
        <v>335.625</v>
      </c>
    </row>
    <row r="282" spans="1:43" ht="12.75">
      <c r="A282" t="s">
        <v>1523</v>
      </c>
      <c r="B282" t="s">
        <v>1578</v>
      </c>
      <c r="C282" t="s">
        <v>1524</v>
      </c>
      <c r="D282" s="57">
        <v>1</v>
      </c>
      <c r="E282" s="7" t="s">
        <v>1908</v>
      </c>
      <c r="F282" s="19"/>
      <c r="G282" s="4">
        <f>IF(F282&gt;0,F282,IF(PrefetchDBSummary!$C$10="B",AJ282,8))</f>
        <v>8</v>
      </c>
      <c r="H282" s="4">
        <f>PrefetchDBSummary!$C$36</f>
        <v>0</v>
      </c>
      <c r="I282" s="4">
        <f>PrefetchDBSummary!$D$36</f>
        <v>0</v>
      </c>
      <c r="J282" s="5">
        <f t="shared" si="59"/>
        <v>0</v>
      </c>
      <c r="K282" s="4">
        <f t="shared" si="60"/>
        <v>0</v>
      </c>
      <c r="L282" s="4">
        <f t="shared" si="61"/>
        <v>0</v>
      </c>
      <c r="M282" s="5">
        <f t="shared" si="62"/>
        <v>0</v>
      </c>
      <c r="N282" s="17">
        <f t="shared" si="57"/>
        <v>0</v>
      </c>
      <c r="O282" s="32">
        <f t="shared" si="58"/>
        <v>0</v>
      </c>
      <c r="AG282" t="s">
        <v>1551</v>
      </c>
      <c r="AH282" t="s">
        <v>583</v>
      </c>
      <c r="AI282">
        <v>1</v>
      </c>
      <c r="AJ282">
        <v>15</v>
      </c>
      <c r="AK282">
        <v>10</v>
      </c>
      <c r="AL282">
        <v>4</v>
      </c>
      <c r="AM282">
        <v>322</v>
      </c>
      <c r="AN282">
        <v>518</v>
      </c>
      <c r="AO282">
        <v>224</v>
      </c>
      <c r="AP282" s="47"/>
      <c r="AQ282" s="27">
        <f t="shared" si="63"/>
        <v>650.6</v>
      </c>
    </row>
    <row r="283" spans="1:43" ht="12.75">
      <c r="A283" t="s">
        <v>1523</v>
      </c>
      <c r="B283" t="s">
        <v>1578</v>
      </c>
      <c r="C283" t="s">
        <v>1525</v>
      </c>
      <c r="D283" s="19">
        <v>50</v>
      </c>
      <c r="E283" s="79" t="s">
        <v>1896</v>
      </c>
      <c r="F283" s="19"/>
      <c r="G283" s="4">
        <f>IF(F283&gt;0,F283,IF(PrefetchDBSummary!$C$10="B",AJ283,8))</f>
        <v>8</v>
      </c>
      <c r="H283" s="4">
        <f>PrefetchDBSummary!$C$36</f>
        <v>0</v>
      </c>
      <c r="I283" s="4">
        <f>PrefetchDBSummary!$D$36</f>
        <v>0</v>
      </c>
      <c r="J283" s="5">
        <f t="shared" si="59"/>
        <v>0</v>
      </c>
      <c r="K283" s="4">
        <f t="shared" si="60"/>
        <v>0</v>
      </c>
      <c r="L283" s="4">
        <f t="shared" si="61"/>
        <v>0</v>
      </c>
      <c r="M283" s="5">
        <f t="shared" si="62"/>
        <v>0</v>
      </c>
      <c r="N283" s="17">
        <f t="shared" si="57"/>
        <v>0</v>
      </c>
      <c r="O283" s="32">
        <f t="shared" si="58"/>
        <v>0</v>
      </c>
      <c r="AG283" t="s">
        <v>1552</v>
      </c>
      <c r="AH283" t="s">
        <v>583</v>
      </c>
      <c r="AI283">
        <v>8</v>
      </c>
      <c r="AJ283">
        <v>8</v>
      </c>
      <c r="AK283">
        <v>5</v>
      </c>
      <c r="AL283">
        <v>1</v>
      </c>
      <c r="AM283">
        <v>189</v>
      </c>
      <c r="AN283">
        <v>232</v>
      </c>
      <c r="AO283">
        <v>160</v>
      </c>
      <c r="AP283" s="44"/>
      <c r="AQ283" s="27">
        <f t="shared" si="63"/>
        <v>6145</v>
      </c>
    </row>
    <row r="284" spans="1:43" ht="12.75">
      <c r="A284" t="s">
        <v>1523</v>
      </c>
      <c r="B284" t="s">
        <v>1578</v>
      </c>
      <c r="C284" t="s">
        <v>1526</v>
      </c>
      <c r="D284" s="19">
        <v>1</v>
      </c>
      <c r="E284" s="7" t="s">
        <v>1908</v>
      </c>
      <c r="F284" s="19"/>
      <c r="G284" s="4">
        <f>IF(F284&gt;0,F284,IF(PrefetchDBSummary!$C$10="B",AJ284,8))</f>
        <v>8</v>
      </c>
      <c r="H284" s="4">
        <f>PrefetchDBSummary!$C$36</f>
        <v>0</v>
      </c>
      <c r="I284" s="4">
        <f>PrefetchDBSummary!$D$36</f>
        <v>0</v>
      </c>
      <c r="J284" s="5">
        <f t="shared" si="59"/>
        <v>0</v>
      </c>
      <c r="K284" s="4">
        <f t="shared" si="60"/>
        <v>0</v>
      </c>
      <c r="L284" s="4">
        <f t="shared" si="61"/>
        <v>0</v>
      </c>
      <c r="M284" s="5">
        <f t="shared" si="62"/>
        <v>0</v>
      </c>
      <c r="N284" s="17">
        <f t="shared" si="57"/>
        <v>0</v>
      </c>
      <c r="O284" s="32">
        <f t="shared" si="58"/>
        <v>0</v>
      </c>
      <c r="AG284" t="s">
        <v>1553</v>
      </c>
      <c r="AH284" t="s">
        <v>583</v>
      </c>
      <c r="AI284">
        <v>1</v>
      </c>
      <c r="AJ284">
        <v>15</v>
      </c>
      <c r="AK284">
        <v>8</v>
      </c>
      <c r="AL284">
        <v>2</v>
      </c>
      <c r="AM284">
        <v>276</v>
      </c>
      <c r="AN284">
        <v>358</v>
      </c>
      <c r="AO284">
        <v>224</v>
      </c>
      <c r="AP284" s="44"/>
      <c r="AQ284" s="27">
        <f t="shared" si="63"/>
        <v>566.6</v>
      </c>
    </row>
    <row r="285" spans="1:43" ht="12.75">
      <c r="A285" t="s">
        <v>1523</v>
      </c>
      <c r="B285" t="s">
        <v>1578</v>
      </c>
      <c r="C285" t="s">
        <v>1527</v>
      </c>
      <c r="D285" s="19">
        <v>1</v>
      </c>
      <c r="E285" s="7" t="s">
        <v>710</v>
      </c>
      <c r="F285" s="19"/>
      <c r="G285" s="4">
        <f>IF(F285&gt;0,F285,IF(PrefetchDBSummary!$C$10="B",AJ285,8))</f>
        <v>8</v>
      </c>
      <c r="H285" s="4">
        <f>PrefetchDBSummary!$C$36</f>
        <v>0</v>
      </c>
      <c r="I285" s="4">
        <f>PrefetchDBSummary!$D$36</f>
        <v>0</v>
      </c>
      <c r="J285" s="5">
        <f t="shared" si="59"/>
        <v>0</v>
      </c>
      <c r="K285" s="4">
        <f t="shared" si="60"/>
        <v>0</v>
      </c>
      <c r="L285" s="4">
        <f t="shared" si="61"/>
        <v>0</v>
      </c>
      <c r="M285" s="5">
        <f t="shared" si="62"/>
        <v>0</v>
      </c>
      <c r="N285" s="17">
        <f t="shared" si="57"/>
        <v>0</v>
      </c>
      <c r="O285" s="32">
        <f t="shared" si="58"/>
        <v>0</v>
      </c>
      <c r="AG285" t="s">
        <v>1554</v>
      </c>
      <c r="AH285" t="s">
        <v>582</v>
      </c>
      <c r="AI285">
        <v>1</v>
      </c>
      <c r="AJ285">
        <v>8</v>
      </c>
      <c r="AK285">
        <v>3</v>
      </c>
      <c r="AL285">
        <v>0</v>
      </c>
      <c r="AM285">
        <v>163</v>
      </c>
      <c r="AN285">
        <v>163</v>
      </c>
      <c r="AO285">
        <v>160</v>
      </c>
      <c r="AP285" s="44"/>
      <c r="AQ285" s="27">
        <f t="shared" si="63"/>
        <v>397</v>
      </c>
    </row>
    <row r="286" spans="1:43" ht="12.75">
      <c r="A286" t="s">
        <v>1523</v>
      </c>
      <c r="B286" t="s">
        <v>1578</v>
      </c>
      <c r="C286" t="s">
        <v>1528</v>
      </c>
      <c r="D286" s="19">
        <v>50</v>
      </c>
      <c r="E286" s="7" t="s">
        <v>1898</v>
      </c>
      <c r="F286" s="19"/>
      <c r="G286" s="4">
        <f>IF(F286&gt;0,F286,IF(PrefetchDBSummary!$C$10="B",AJ286,8))</f>
        <v>8</v>
      </c>
      <c r="H286" s="4">
        <f>PrefetchDBSummary!$C$36</f>
        <v>0</v>
      </c>
      <c r="I286" s="4">
        <f>PrefetchDBSummary!$D$36</f>
        <v>0</v>
      </c>
      <c r="J286" s="5">
        <f t="shared" si="59"/>
        <v>0</v>
      </c>
      <c r="K286" s="4">
        <f t="shared" si="60"/>
        <v>0</v>
      </c>
      <c r="L286" s="4">
        <f t="shared" si="61"/>
        <v>0</v>
      </c>
      <c r="M286" s="5">
        <f t="shared" si="62"/>
        <v>0</v>
      </c>
      <c r="N286" s="17">
        <f t="shared" si="57"/>
        <v>0</v>
      </c>
      <c r="O286" s="32">
        <f t="shared" si="58"/>
        <v>0</v>
      </c>
      <c r="AG286" t="s">
        <v>1555</v>
      </c>
      <c r="AH286" t="s">
        <v>583</v>
      </c>
      <c r="AI286">
        <v>5</v>
      </c>
      <c r="AJ286">
        <v>15</v>
      </c>
      <c r="AK286">
        <v>11</v>
      </c>
      <c r="AL286">
        <v>3</v>
      </c>
      <c r="AM286">
        <v>455</v>
      </c>
      <c r="AN286">
        <v>572</v>
      </c>
      <c r="AO286">
        <v>416</v>
      </c>
      <c r="AP286" s="44"/>
      <c r="AQ286" s="27">
        <f t="shared" si="63"/>
        <v>11879</v>
      </c>
    </row>
    <row r="287" spans="1:43" ht="12.75">
      <c r="A287" t="s">
        <v>1523</v>
      </c>
      <c r="B287" t="s">
        <v>1578</v>
      </c>
      <c r="C287" t="s">
        <v>1529</v>
      </c>
      <c r="D287" s="19">
        <v>1</v>
      </c>
      <c r="E287" s="7" t="s">
        <v>710</v>
      </c>
      <c r="F287" s="19"/>
      <c r="G287" s="4">
        <f>IF(F287&gt;0,F287,IF(PrefetchDBSummary!$C$10="B",AJ287,8))</f>
        <v>8</v>
      </c>
      <c r="H287" s="4">
        <f>PrefetchDBSummary!$C$36</f>
        <v>0</v>
      </c>
      <c r="I287" s="4">
        <f>PrefetchDBSummary!$D$36</f>
        <v>0</v>
      </c>
      <c r="J287" s="5">
        <f t="shared" si="59"/>
        <v>0</v>
      </c>
      <c r="K287" s="4">
        <f t="shared" si="60"/>
        <v>0</v>
      </c>
      <c r="L287" s="4">
        <f t="shared" si="61"/>
        <v>0</v>
      </c>
      <c r="M287" s="5">
        <f t="shared" si="62"/>
        <v>0</v>
      </c>
      <c r="N287" s="17">
        <f t="shared" si="57"/>
        <v>0</v>
      </c>
      <c r="O287" s="32">
        <f t="shared" si="58"/>
        <v>0</v>
      </c>
      <c r="AG287" t="s">
        <v>1556</v>
      </c>
      <c r="AH287" t="s">
        <v>582</v>
      </c>
      <c r="AI287">
        <v>8</v>
      </c>
      <c r="AJ287">
        <v>8</v>
      </c>
      <c r="AK287">
        <v>2</v>
      </c>
      <c r="AL287">
        <v>1</v>
      </c>
      <c r="AM287">
        <v>38</v>
      </c>
      <c r="AN287">
        <v>77</v>
      </c>
      <c r="AO287">
        <v>32</v>
      </c>
      <c r="AP287" s="44"/>
      <c r="AQ287" s="27">
        <f t="shared" si="63"/>
        <v>329.8</v>
      </c>
    </row>
    <row r="288" spans="1:43" ht="12.75">
      <c r="A288" t="s">
        <v>1523</v>
      </c>
      <c r="B288" t="s">
        <v>1578</v>
      </c>
      <c r="C288" t="s">
        <v>1530</v>
      </c>
      <c r="D288" s="19">
        <v>14</v>
      </c>
      <c r="E288" s="7" t="s">
        <v>1907</v>
      </c>
      <c r="F288" s="19"/>
      <c r="G288" s="4">
        <f>IF(F288&gt;0,F288,IF(PrefetchDBSummary!$C$10="B",AJ288,8))</f>
        <v>8</v>
      </c>
      <c r="H288" s="4">
        <f>PrefetchDBSummary!$C$36</f>
        <v>0</v>
      </c>
      <c r="I288" s="4">
        <f>PrefetchDBSummary!$D$36</f>
        <v>0</v>
      </c>
      <c r="J288" s="5">
        <f t="shared" si="59"/>
        <v>0</v>
      </c>
      <c r="K288" s="4">
        <f t="shared" si="60"/>
        <v>0</v>
      </c>
      <c r="L288" s="4">
        <f t="shared" si="61"/>
        <v>0</v>
      </c>
      <c r="M288" s="5">
        <f t="shared" si="62"/>
        <v>0</v>
      </c>
      <c r="N288" s="17">
        <f t="shared" si="57"/>
        <v>0</v>
      </c>
      <c r="O288" s="32">
        <f t="shared" si="58"/>
        <v>0</v>
      </c>
      <c r="AG288" t="s">
        <v>1557</v>
      </c>
      <c r="AH288" t="s">
        <v>583</v>
      </c>
      <c r="AI288">
        <v>1</v>
      </c>
      <c r="AJ288">
        <v>15</v>
      </c>
      <c r="AK288">
        <v>7</v>
      </c>
      <c r="AL288">
        <v>3</v>
      </c>
      <c r="AM288">
        <v>247</v>
      </c>
      <c r="AN288">
        <v>364</v>
      </c>
      <c r="AO288">
        <v>224</v>
      </c>
      <c r="AP288" s="44"/>
      <c r="AQ288" s="27">
        <f t="shared" si="63"/>
        <v>2281.4000000000005</v>
      </c>
    </row>
    <row r="289" spans="1:43" ht="12.75">
      <c r="A289" t="s">
        <v>1523</v>
      </c>
      <c r="B289" t="s">
        <v>1578</v>
      </c>
      <c r="C289" t="s">
        <v>1531</v>
      </c>
      <c r="D289" s="19">
        <v>50</v>
      </c>
      <c r="E289" s="7" t="s">
        <v>1897</v>
      </c>
      <c r="F289" s="19"/>
      <c r="G289" s="4">
        <f>IF(F289&gt;0,F289,IF(PrefetchDBSummary!$C$10="B",AJ289,8))</f>
        <v>8</v>
      </c>
      <c r="H289" s="4">
        <f>PrefetchDBSummary!$C$36</f>
        <v>0</v>
      </c>
      <c r="I289" s="4">
        <f>PrefetchDBSummary!$D$36</f>
        <v>0</v>
      </c>
      <c r="J289" s="5">
        <f t="shared" si="59"/>
        <v>0</v>
      </c>
      <c r="K289" s="4">
        <f t="shared" si="60"/>
        <v>0</v>
      </c>
      <c r="L289" s="4">
        <f t="shared" si="61"/>
        <v>0</v>
      </c>
      <c r="M289" s="5">
        <f t="shared" si="62"/>
        <v>0</v>
      </c>
      <c r="N289" s="17">
        <f t="shared" si="57"/>
        <v>0</v>
      </c>
      <c r="O289" s="32">
        <f t="shared" si="58"/>
        <v>0</v>
      </c>
      <c r="AG289" t="s">
        <v>1558</v>
      </c>
      <c r="AH289" t="s">
        <v>583</v>
      </c>
      <c r="AI289">
        <v>8</v>
      </c>
      <c r="AJ289">
        <v>15</v>
      </c>
      <c r="AK289">
        <v>5</v>
      </c>
      <c r="AL289">
        <v>0</v>
      </c>
      <c r="AM289">
        <v>125</v>
      </c>
      <c r="AN289">
        <v>125</v>
      </c>
      <c r="AO289">
        <v>96</v>
      </c>
      <c r="AP289" s="44"/>
      <c r="AQ289" s="27">
        <f t="shared" si="63"/>
        <v>4865</v>
      </c>
    </row>
    <row r="290" spans="1:43" ht="12.75">
      <c r="A290" t="s">
        <v>1523</v>
      </c>
      <c r="B290" t="s">
        <v>1578</v>
      </c>
      <c r="C290" t="s">
        <v>1532</v>
      </c>
      <c r="D290" s="19">
        <v>1</v>
      </c>
      <c r="E290" s="7" t="s">
        <v>710</v>
      </c>
      <c r="F290" s="19"/>
      <c r="G290" s="4">
        <f>IF(F290&gt;0,F290,IF(PrefetchDBSummary!$C$10="B",AJ290,8))</f>
        <v>8</v>
      </c>
      <c r="H290" s="4">
        <f>PrefetchDBSummary!$C$36</f>
        <v>0</v>
      </c>
      <c r="I290" s="4">
        <f>PrefetchDBSummary!$D$36</f>
        <v>0</v>
      </c>
      <c r="J290" s="5">
        <f t="shared" si="59"/>
        <v>0</v>
      </c>
      <c r="K290" s="4">
        <f t="shared" si="60"/>
        <v>0</v>
      </c>
      <c r="L290" s="4">
        <f t="shared" si="61"/>
        <v>0</v>
      </c>
      <c r="M290" s="5">
        <f t="shared" si="62"/>
        <v>0</v>
      </c>
      <c r="N290" s="17">
        <f t="shared" si="57"/>
        <v>0</v>
      </c>
      <c r="O290" s="32">
        <f t="shared" si="58"/>
        <v>0</v>
      </c>
      <c r="AG290" t="s">
        <v>1559</v>
      </c>
      <c r="AH290" t="s">
        <v>582</v>
      </c>
      <c r="AI290">
        <v>1</v>
      </c>
      <c r="AJ290">
        <v>15</v>
      </c>
      <c r="AK290">
        <v>3</v>
      </c>
      <c r="AL290">
        <v>0</v>
      </c>
      <c r="AM290">
        <v>163</v>
      </c>
      <c r="AN290">
        <v>163</v>
      </c>
      <c r="AO290">
        <v>160</v>
      </c>
      <c r="AP290" s="44"/>
      <c r="AQ290" s="27">
        <f t="shared" si="63"/>
        <v>397</v>
      </c>
    </row>
    <row r="291" spans="1:43" ht="12.75">
      <c r="A291" t="s">
        <v>1523</v>
      </c>
      <c r="B291" t="s">
        <v>1578</v>
      </c>
      <c r="C291" t="s">
        <v>1533</v>
      </c>
      <c r="D291" s="19">
        <v>1</v>
      </c>
      <c r="E291" s="7" t="s">
        <v>710</v>
      </c>
      <c r="F291" s="19"/>
      <c r="G291" s="4">
        <f>IF(F291&gt;0,F291,IF(PrefetchDBSummary!$C$10="B",AJ291,8))</f>
        <v>8</v>
      </c>
      <c r="H291" s="4">
        <f>PrefetchDBSummary!$C$36</f>
        <v>0</v>
      </c>
      <c r="I291" s="4">
        <f>PrefetchDBSummary!$D$36</f>
        <v>0</v>
      </c>
      <c r="J291" s="5">
        <f t="shared" si="59"/>
        <v>0</v>
      </c>
      <c r="K291" s="4">
        <f t="shared" si="60"/>
        <v>0</v>
      </c>
      <c r="L291" s="4">
        <f t="shared" si="61"/>
        <v>0</v>
      </c>
      <c r="M291" s="5">
        <f t="shared" si="62"/>
        <v>0</v>
      </c>
      <c r="N291" s="17">
        <f t="shared" si="57"/>
        <v>0</v>
      </c>
      <c r="O291" s="32">
        <f t="shared" si="58"/>
        <v>0</v>
      </c>
      <c r="AG291" t="s">
        <v>1560</v>
      </c>
      <c r="AH291" t="s">
        <v>583</v>
      </c>
      <c r="AI291">
        <v>5</v>
      </c>
      <c r="AJ291">
        <v>15</v>
      </c>
      <c r="AK291">
        <v>5</v>
      </c>
      <c r="AL291">
        <v>2</v>
      </c>
      <c r="AM291">
        <v>213</v>
      </c>
      <c r="AN291">
        <v>315</v>
      </c>
      <c r="AO291">
        <v>160</v>
      </c>
      <c r="AP291" s="44"/>
      <c r="AQ291" s="27">
        <f t="shared" si="63"/>
        <v>485</v>
      </c>
    </row>
    <row r="292" spans="1:43" ht="12.75">
      <c r="A292" t="s">
        <v>1523</v>
      </c>
      <c r="B292" t="s">
        <v>1578</v>
      </c>
      <c r="C292" t="s">
        <v>1534</v>
      </c>
      <c r="D292" s="19">
        <v>3</v>
      </c>
      <c r="E292" s="79" t="s">
        <v>1909</v>
      </c>
      <c r="F292" s="19"/>
      <c r="G292" s="4">
        <f>IF(F292&gt;0,F292,IF(PrefetchDBSummary!$C$10="B",AJ292,8))</f>
        <v>8</v>
      </c>
      <c r="H292" s="4">
        <f>PrefetchDBSummary!$C$36</f>
        <v>0</v>
      </c>
      <c r="I292" s="4">
        <f>PrefetchDBSummary!$D$36</f>
        <v>0</v>
      </c>
      <c r="J292" s="5">
        <f t="shared" si="59"/>
        <v>0</v>
      </c>
      <c r="K292" s="4">
        <f t="shared" si="60"/>
        <v>0</v>
      </c>
      <c r="L292" s="4">
        <f t="shared" si="61"/>
        <v>0</v>
      </c>
      <c r="M292" s="5">
        <f t="shared" si="62"/>
        <v>0</v>
      </c>
      <c r="N292" s="17">
        <f t="shared" si="57"/>
        <v>0</v>
      </c>
      <c r="O292" s="32">
        <f t="shared" si="58"/>
        <v>0</v>
      </c>
      <c r="AG292" t="s">
        <v>1561</v>
      </c>
      <c r="AH292" t="s">
        <v>583</v>
      </c>
      <c r="AI292">
        <v>8</v>
      </c>
      <c r="AJ292">
        <v>8</v>
      </c>
      <c r="AK292">
        <v>6</v>
      </c>
      <c r="AL292">
        <v>1</v>
      </c>
      <c r="AM292">
        <v>206</v>
      </c>
      <c r="AN292">
        <v>249</v>
      </c>
      <c r="AO292">
        <v>160</v>
      </c>
      <c r="AP292" s="44"/>
      <c r="AQ292" s="27">
        <f t="shared" si="63"/>
        <v>763</v>
      </c>
    </row>
    <row r="293" spans="1:43" ht="12.75">
      <c r="A293" t="s">
        <v>1523</v>
      </c>
      <c r="B293" t="s">
        <v>1578</v>
      </c>
      <c r="C293" t="s">
        <v>1535</v>
      </c>
      <c r="D293" s="19">
        <v>1</v>
      </c>
      <c r="E293" s="7" t="s">
        <v>710</v>
      </c>
      <c r="F293" s="19"/>
      <c r="G293" s="4">
        <f>IF(F293&gt;0,F293,IF(PrefetchDBSummary!$C$10="B",AJ293,8))</f>
        <v>8</v>
      </c>
      <c r="H293" s="4">
        <f>PrefetchDBSummary!$C$36</f>
        <v>0</v>
      </c>
      <c r="I293" s="4">
        <f>PrefetchDBSummary!$D$36</f>
        <v>0</v>
      </c>
      <c r="J293" s="5">
        <f t="shared" si="59"/>
        <v>0</v>
      </c>
      <c r="K293" s="4">
        <f t="shared" si="60"/>
        <v>0</v>
      </c>
      <c r="L293" s="4">
        <f t="shared" si="61"/>
        <v>0</v>
      </c>
      <c r="M293" s="5">
        <f t="shared" si="62"/>
        <v>0</v>
      </c>
      <c r="N293" s="17">
        <f t="shared" si="57"/>
        <v>0</v>
      </c>
      <c r="O293" s="32">
        <f t="shared" si="58"/>
        <v>0</v>
      </c>
      <c r="AG293" t="s">
        <v>1562</v>
      </c>
      <c r="AH293" t="s">
        <v>582</v>
      </c>
      <c r="AI293">
        <v>8</v>
      </c>
      <c r="AJ293">
        <v>8</v>
      </c>
      <c r="AK293">
        <v>2</v>
      </c>
      <c r="AL293">
        <v>1</v>
      </c>
      <c r="AM293">
        <v>38</v>
      </c>
      <c r="AN293">
        <v>77</v>
      </c>
      <c r="AO293">
        <v>32</v>
      </c>
      <c r="AP293" s="44"/>
      <c r="AQ293" s="27">
        <f t="shared" si="63"/>
        <v>329.8</v>
      </c>
    </row>
    <row r="294" spans="1:43" ht="12.75">
      <c r="A294" t="s">
        <v>1523</v>
      </c>
      <c r="B294" t="s">
        <v>1578</v>
      </c>
      <c r="C294" t="s">
        <v>1536</v>
      </c>
      <c r="D294" s="19">
        <v>1</v>
      </c>
      <c r="E294" s="7" t="s">
        <v>1908</v>
      </c>
      <c r="F294" s="19"/>
      <c r="G294" s="4">
        <f>IF(F294&gt;0,F294,IF(PrefetchDBSummary!$C$10="B",AJ294,8))</f>
        <v>8</v>
      </c>
      <c r="H294" s="4">
        <f>PrefetchDBSummary!$C$36</f>
        <v>0</v>
      </c>
      <c r="I294" s="4">
        <f>PrefetchDBSummary!$D$36</f>
        <v>0</v>
      </c>
      <c r="J294" s="5">
        <f t="shared" si="59"/>
        <v>0</v>
      </c>
      <c r="K294" s="4">
        <f t="shared" si="60"/>
        <v>0</v>
      </c>
      <c r="L294" s="4">
        <f t="shared" si="61"/>
        <v>0</v>
      </c>
      <c r="M294" s="5">
        <f t="shared" si="62"/>
        <v>0</v>
      </c>
      <c r="N294" s="17">
        <f t="shared" si="57"/>
        <v>0</v>
      </c>
      <c r="O294" s="32">
        <f t="shared" si="58"/>
        <v>0</v>
      </c>
      <c r="AG294" t="s">
        <v>1563</v>
      </c>
      <c r="AH294" t="s">
        <v>583</v>
      </c>
      <c r="AI294">
        <v>1</v>
      </c>
      <c r="AJ294">
        <v>15</v>
      </c>
      <c r="AK294">
        <v>8</v>
      </c>
      <c r="AL294">
        <v>2</v>
      </c>
      <c r="AM294">
        <v>296</v>
      </c>
      <c r="AN294">
        <v>398</v>
      </c>
      <c r="AO294">
        <v>224</v>
      </c>
      <c r="AP294" s="44"/>
      <c r="AQ294" s="27">
        <f t="shared" si="63"/>
        <v>586.6</v>
      </c>
    </row>
    <row r="295" spans="1:43" ht="12.75">
      <c r="A295" t="s">
        <v>1523</v>
      </c>
      <c r="B295" t="s">
        <v>1578</v>
      </c>
      <c r="C295" t="s">
        <v>1537</v>
      </c>
      <c r="D295" s="19">
        <v>150</v>
      </c>
      <c r="E295" s="7" t="s">
        <v>1899</v>
      </c>
      <c r="F295" s="19"/>
      <c r="G295" s="4">
        <f>IF(F295&gt;0,F295,IF(PrefetchDBSummary!$C$10="B",AJ295,8))</f>
        <v>8</v>
      </c>
      <c r="H295" s="4">
        <f>PrefetchDBSummary!$C$36</f>
        <v>0</v>
      </c>
      <c r="I295" s="4">
        <f>PrefetchDBSummary!$D$36</f>
        <v>0</v>
      </c>
      <c r="J295" s="5">
        <f t="shared" si="59"/>
        <v>0</v>
      </c>
      <c r="K295" s="4">
        <f t="shared" si="60"/>
        <v>0</v>
      </c>
      <c r="L295" s="4">
        <f t="shared" si="61"/>
        <v>0</v>
      </c>
      <c r="M295" s="5">
        <f t="shared" si="62"/>
        <v>0</v>
      </c>
      <c r="N295" s="17">
        <f t="shared" si="57"/>
        <v>0</v>
      </c>
      <c r="O295" s="32">
        <f t="shared" si="58"/>
        <v>0</v>
      </c>
      <c r="AG295" t="s">
        <v>1564</v>
      </c>
      <c r="AH295" t="s">
        <v>583</v>
      </c>
      <c r="AI295">
        <v>1</v>
      </c>
      <c r="AJ295">
        <v>8</v>
      </c>
      <c r="AK295">
        <v>5</v>
      </c>
      <c r="AL295">
        <v>0</v>
      </c>
      <c r="AM295">
        <v>293</v>
      </c>
      <c r="AN295">
        <v>293</v>
      </c>
      <c r="AO295">
        <v>288</v>
      </c>
      <c r="AP295" s="44"/>
      <c r="AQ295" s="27">
        <f t="shared" si="63"/>
        <v>21825</v>
      </c>
    </row>
    <row r="296" spans="1:43" ht="12.75">
      <c r="A296" t="s">
        <v>1523</v>
      </c>
      <c r="B296" t="s">
        <v>1578</v>
      </c>
      <c r="C296" t="s">
        <v>1538</v>
      </c>
      <c r="D296" s="19">
        <v>14</v>
      </c>
      <c r="E296" s="7" t="s">
        <v>1900</v>
      </c>
      <c r="F296" s="19"/>
      <c r="G296" s="4">
        <f>IF(F296&gt;0,F296,IF(PrefetchDBSummary!$C$10="B",AJ296,8))</f>
        <v>8</v>
      </c>
      <c r="H296" s="4">
        <f>PrefetchDBSummary!$C$36</f>
        <v>0</v>
      </c>
      <c r="I296" s="4">
        <f>PrefetchDBSummary!$D$36</f>
        <v>0</v>
      </c>
      <c r="J296" s="5">
        <f t="shared" si="59"/>
        <v>0</v>
      </c>
      <c r="K296" s="4">
        <f t="shared" si="60"/>
        <v>0</v>
      </c>
      <c r="L296" s="4">
        <f t="shared" si="61"/>
        <v>0</v>
      </c>
      <c r="M296" s="5">
        <f t="shared" si="62"/>
        <v>0</v>
      </c>
      <c r="N296" s="17">
        <f t="shared" si="57"/>
        <v>0</v>
      </c>
      <c r="O296" s="32">
        <f t="shared" si="58"/>
        <v>0</v>
      </c>
      <c r="AG296" t="s">
        <v>1565</v>
      </c>
      <c r="AH296" t="s">
        <v>583</v>
      </c>
      <c r="AI296">
        <v>1</v>
      </c>
      <c r="AJ296">
        <v>8</v>
      </c>
      <c r="AK296">
        <v>5</v>
      </c>
      <c r="AL296">
        <v>1</v>
      </c>
      <c r="AM296">
        <v>233</v>
      </c>
      <c r="AN296">
        <v>272</v>
      </c>
      <c r="AO296">
        <v>224</v>
      </c>
      <c r="AP296" s="44"/>
      <c r="AQ296" s="27">
        <f t="shared" si="63"/>
        <v>2047.4</v>
      </c>
    </row>
    <row r="297" spans="1:43" ht="12.75">
      <c r="A297" t="s">
        <v>1523</v>
      </c>
      <c r="B297" t="s">
        <v>1578</v>
      </c>
      <c r="C297" t="s">
        <v>1539</v>
      </c>
      <c r="D297" s="19"/>
      <c r="E297" s="7" t="s">
        <v>1901</v>
      </c>
      <c r="F297" s="19"/>
      <c r="G297" s="4">
        <f>IF(F297&gt;0,F297,IF(PrefetchDBSummary!$C$10="B",AJ297,8))</f>
        <v>8</v>
      </c>
      <c r="H297" s="4">
        <f>PrefetchDBSummary!$C$36</f>
        <v>0</v>
      </c>
      <c r="I297" s="4">
        <f>PrefetchDBSummary!$D$36</f>
        <v>0</v>
      </c>
      <c r="J297" s="5">
        <f t="shared" si="59"/>
        <v>0</v>
      </c>
      <c r="K297" s="4">
        <f t="shared" si="60"/>
        <v>0</v>
      </c>
      <c r="L297" s="4">
        <f t="shared" si="61"/>
        <v>0</v>
      </c>
      <c r="M297" s="5">
        <f t="shared" si="62"/>
        <v>0</v>
      </c>
      <c r="N297" s="17">
        <f t="shared" si="57"/>
        <v>0</v>
      </c>
      <c r="O297" s="32">
        <f t="shared" si="58"/>
        <v>0</v>
      </c>
      <c r="AG297" t="s">
        <v>1566</v>
      </c>
      <c r="AH297" t="s">
        <v>583</v>
      </c>
      <c r="AI297">
        <v>5</v>
      </c>
      <c r="AJ297">
        <v>8</v>
      </c>
      <c r="AK297">
        <v>9</v>
      </c>
      <c r="AL297">
        <v>0</v>
      </c>
      <c r="AM297">
        <v>2281</v>
      </c>
      <c r="AN297">
        <v>2281</v>
      </c>
      <c r="AO297">
        <v>2240</v>
      </c>
      <c r="AP297" s="44"/>
      <c r="AQ297" s="27">
        <f t="shared" si="63"/>
        <v>421</v>
      </c>
    </row>
    <row r="298" spans="1:43" ht="12.75">
      <c r="A298" t="s">
        <v>1523</v>
      </c>
      <c r="B298" t="s">
        <v>1578</v>
      </c>
      <c r="C298" t="s">
        <v>1540</v>
      </c>
      <c r="D298" s="19">
        <v>14</v>
      </c>
      <c r="E298" s="7" t="s">
        <v>1900</v>
      </c>
      <c r="F298" s="19"/>
      <c r="G298" s="4">
        <f>IF(F298&gt;0,F298,IF(PrefetchDBSummary!$C$10="B",AJ298,8))</f>
        <v>8</v>
      </c>
      <c r="H298" s="4">
        <f>PrefetchDBSummary!$C$36</f>
        <v>0</v>
      </c>
      <c r="I298" s="4">
        <f>PrefetchDBSummary!$D$36</f>
        <v>0</v>
      </c>
      <c r="J298" s="5">
        <f t="shared" si="59"/>
        <v>0</v>
      </c>
      <c r="K298" s="4">
        <f t="shared" si="60"/>
        <v>0</v>
      </c>
      <c r="L298" s="4">
        <f t="shared" si="61"/>
        <v>0</v>
      </c>
      <c r="M298" s="5">
        <f t="shared" si="62"/>
        <v>0</v>
      </c>
      <c r="N298" s="17">
        <f t="shared" si="57"/>
        <v>0</v>
      </c>
      <c r="O298" s="32">
        <f t="shared" si="58"/>
        <v>0</v>
      </c>
      <c r="AG298" t="s">
        <v>1567</v>
      </c>
      <c r="AH298" t="s">
        <v>583</v>
      </c>
      <c r="AI298">
        <v>1</v>
      </c>
      <c r="AJ298">
        <v>8</v>
      </c>
      <c r="AK298">
        <v>5</v>
      </c>
      <c r="AL298">
        <v>3</v>
      </c>
      <c r="AM298">
        <v>113</v>
      </c>
      <c r="AN298">
        <v>230</v>
      </c>
      <c r="AO298">
        <v>96</v>
      </c>
      <c r="AP298" s="44"/>
      <c r="AQ298" s="27">
        <f t="shared" si="63"/>
        <v>1442.6000000000001</v>
      </c>
    </row>
    <row r="299" spans="1:43" ht="12.75">
      <c r="A299" t="s">
        <v>1523</v>
      </c>
      <c r="B299" t="s">
        <v>1578</v>
      </c>
      <c r="C299" t="s">
        <v>1541</v>
      </c>
      <c r="D299" s="19"/>
      <c r="E299" s="79" t="s">
        <v>1905</v>
      </c>
      <c r="F299" s="19"/>
      <c r="G299" s="4">
        <f>IF(F299&gt;0,F299,IF(PrefetchDBSummary!$C$10="B",AJ299,8))</f>
        <v>8</v>
      </c>
      <c r="H299" s="4">
        <f>PrefetchDBSummary!$C$36</f>
        <v>0</v>
      </c>
      <c r="I299" s="4">
        <f>PrefetchDBSummary!$D$36</f>
        <v>0</v>
      </c>
      <c r="J299" s="5">
        <f t="shared" si="59"/>
        <v>0</v>
      </c>
      <c r="K299" s="4">
        <f t="shared" si="60"/>
        <v>0</v>
      </c>
      <c r="L299" s="4">
        <f t="shared" si="61"/>
        <v>0</v>
      </c>
      <c r="M299" s="5">
        <f t="shared" si="62"/>
        <v>0</v>
      </c>
      <c r="N299" s="17">
        <f t="shared" si="57"/>
        <v>0</v>
      </c>
      <c r="O299" s="32">
        <f t="shared" si="58"/>
        <v>0</v>
      </c>
      <c r="AG299" t="s">
        <v>1568</v>
      </c>
      <c r="AH299" t="s">
        <v>583</v>
      </c>
      <c r="AI299">
        <v>5</v>
      </c>
      <c r="AJ299">
        <v>15</v>
      </c>
      <c r="AK299">
        <v>15</v>
      </c>
      <c r="AL299">
        <v>8</v>
      </c>
      <c r="AM299">
        <v>863</v>
      </c>
      <c r="AN299">
        <v>1175</v>
      </c>
      <c r="AO299">
        <v>800</v>
      </c>
      <c r="AP299" s="44"/>
      <c r="AQ299" s="27">
        <f t="shared" si="63"/>
        <v>535</v>
      </c>
    </row>
    <row r="300" spans="1:43" ht="12.75">
      <c r="A300" t="s">
        <v>1523</v>
      </c>
      <c r="B300" t="s">
        <v>1578</v>
      </c>
      <c r="C300" t="s">
        <v>1542</v>
      </c>
      <c r="D300" s="19">
        <v>4</v>
      </c>
      <c r="E300" s="79" t="s">
        <v>1906</v>
      </c>
      <c r="F300" s="19"/>
      <c r="G300" s="4">
        <f>IF(F300&gt;0,F300,IF(PrefetchDBSummary!$C$10="B",AJ300,8))</f>
        <v>8</v>
      </c>
      <c r="H300" s="4">
        <f>PrefetchDBSummary!$C$36</f>
        <v>0</v>
      </c>
      <c r="I300" s="4">
        <f>PrefetchDBSummary!$D$36</f>
        <v>0</v>
      </c>
      <c r="J300" s="5">
        <f t="shared" si="59"/>
        <v>0</v>
      </c>
      <c r="K300" s="4">
        <f t="shared" si="60"/>
        <v>0</v>
      </c>
      <c r="L300" s="4">
        <f t="shared" si="61"/>
        <v>0</v>
      </c>
      <c r="M300" s="5">
        <f t="shared" si="62"/>
        <v>0</v>
      </c>
      <c r="N300" s="17">
        <f t="shared" si="57"/>
        <v>0</v>
      </c>
      <c r="O300" s="32">
        <f t="shared" si="58"/>
        <v>0</v>
      </c>
      <c r="AG300" t="s">
        <v>1569</v>
      </c>
      <c r="AH300" t="s">
        <v>583</v>
      </c>
      <c r="AI300">
        <v>5</v>
      </c>
      <c r="AJ300">
        <v>8</v>
      </c>
      <c r="AK300">
        <v>5</v>
      </c>
      <c r="AL300">
        <v>0</v>
      </c>
      <c r="AM300">
        <v>1189</v>
      </c>
      <c r="AN300">
        <v>1189</v>
      </c>
      <c r="AO300">
        <v>1184</v>
      </c>
      <c r="AP300" s="44"/>
      <c r="AQ300" s="27">
        <f t="shared" si="63"/>
        <v>2351.4</v>
      </c>
    </row>
    <row r="301" spans="1:43" ht="12.75">
      <c r="A301" t="s">
        <v>1523</v>
      </c>
      <c r="B301" t="s">
        <v>1578</v>
      </c>
      <c r="C301" t="s">
        <v>1543</v>
      </c>
      <c r="D301" s="19">
        <v>1</v>
      </c>
      <c r="E301" s="7" t="s">
        <v>710</v>
      </c>
      <c r="F301" s="19"/>
      <c r="G301" s="4">
        <f>IF(F301&gt;0,F301,IF(PrefetchDBSummary!$C$10="B",AJ301,8))</f>
        <v>8</v>
      </c>
      <c r="H301" s="4">
        <f>PrefetchDBSummary!$C$36</f>
        <v>0</v>
      </c>
      <c r="I301" s="4">
        <f>PrefetchDBSummary!$D$36</f>
        <v>0</v>
      </c>
      <c r="J301" s="5">
        <f t="shared" si="59"/>
        <v>0</v>
      </c>
      <c r="K301" s="4">
        <f t="shared" si="60"/>
        <v>0</v>
      </c>
      <c r="L301" s="4">
        <f t="shared" si="61"/>
        <v>0</v>
      </c>
      <c r="M301" s="5">
        <f t="shared" si="62"/>
        <v>0</v>
      </c>
      <c r="N301" s="17">
        <f t="shared" si="57"/>
        <v>0</v>
      </c>
      <c r="O301" s="32">
        <f t="shared" si="58"/>
        <v>0</v>
      </c>
      <c r="AG301" t="s">
        <v>1570</v>
      </c>
      <c r="AH301" t="s">
        <v>582</v>
      </c>
      <c r="AI301">
        <v>8</v>
      </c>
      <c r="AJ301">
        <v>32</v>
      </c>
      <c r="AK301">
        <v>9</v>
      </c>
      <c r="AL301">
        <v>7</v>
      </c>
      <c r="AM301">
        <v>113</v>
      </c>
      <c r="AN301">
        <v>414</v>
      </c>
      <c r="AO301">
        <v>32</v>
      </c>
      <c r="AP301" s="44"/>
      <c r="AQ301" s="27">
        <f t="shared" si="63"/>
        <v>537.8</v>
      </c>
    </row>
    <row r="302" spans="1:43" ht="12.75">
      <c r="A302" t="s">
        <v>1523</v>
      </c>
      <c r="B302" t="s">
        <v>1578</v>
      </c>
      <c r="C302" t="s">
        <v>1544</v>
      </c>
      <c r="D302" s="19">
        <v>50</v>
      </c>
      <c r="E302" s="7" t="s">
        <v>1902</v>
      </c>
      <c r="F302" s="19"/>
      <c r="G302" s="4">
        <f>IF(F302&gt;0,F302,IF(PrefetchDBSummary!$C$10="B",AJ302,8))</f>
        <v>8</v>
      </c>
      <c r="H302" s="4">
        <f>PrefetchDBSummary!$C$36</f>
        <v>0</v>
      </c>
      <c r="I302" s="4">
        <f>PrefetchDBSummary!$D$36</f>
        <v>0</v>
      </c>
      <c r="J302" s="5">
        <f t="shared" si="59"/>
        <v>0</v>
      </c>
      <c r="K302" s="4">
        <f t="shared" si="60"/>
        <v>0</v>
      </c>
      <c r="L302" s="4">
        <f t="shared" si="61"/>
        <v>0</v>
      </c>
      <c r="M302" s="5">
        <f t="shared" si="62"/>
        <v>0</v>
      </c>
      <c r="N302" s="17">
        <f t="shared" si="57"/>
        <v>0</v>
      </c>
      <c r="O302" s="32">
        <f t="shared" si="58"/>
        <v>0</v>
      </c>
      <c r="AG302" t="s">
        <v>1571</v>
      </c>
      <c r="AH302" t="s">
        <v>583</v>
      </c>
      <c r="AI302">
        <v>8</v>
      </c>
      <c r="AJ302">
        <v>8</v>
      </c>
      <c r="AK302">
        <v>5</v>
      </c>
      <c r="AL302">
        <v>1</v>
      </c>
      <c r="AM302">
        <v>189</v>
      </c>
      <c r="AN302">
        <v>232</v>
      </c>
      <c r="AO302">
        <v>160</v>
      </c>
      <c r="AP302" s="44"/>
      <c r="AQ302" s="27">
        <f t="shared" si="63"/>
        <v>6145</v>
      </c>
    </row>
    <row r="303" spans="1:43" ht="12.75">
      <c r="A303" t="s">
        <v>1523</v>
      </c>
      <c r="B303" t="s">
        <v>1578</v>
      </c>
      <c r="C303" t="s">
        <v>1545</v>
      </c>
      <c r="D303" s="19">
        <v>1</v>
      </c>
      <c r="E303" s="7" t="s">
        <v>710</v>
      </c>
      <c r="F303" s="19"/>
      <c r="G303" s="4">
        <f>IF(F303&gt;0,F303,IF(PrefetchDBSummary!$C$10="B",AJ303,8))</f>
        <v>8</v>
      </c>
      <c r="H303" s="4">
        <f>PrefetchDBSummary!$C$36</f>
        <v>0</v>
      </c>
      <c r="I303" s="4">
        <f>PrefetchDBSummary!$D$36</f>
        <v>0</v>
      </c>
      <c r="J303" s="5">
        <f t="shared" si="59"/>
        <v>0</v>
      </c>
      <c r="K303" s="4">
        <f t="shared" si="60"/>
        <v>0</v>
      </c>
      <c r="L303" s="4">
        <f t="shared" si="61"/>
        <v>0</v>
      </c>
      <c r="M303" s="5">
        <f t="shared" si="62"/>
        <v>0</v>
      </c>
      <c r="N303" s="17">
        <f aca="true" t="shared" si="71" ref="N303:N366">L303*60*24*IF(G303&gt;0,G303,(G303))</f>
        <v>0</v>
      </c>
      <c r="O303" s="32">
        <f aca="true" t="shared" si="72" ref="O303:O366">N303*($AM303-$AO303*IF($AP303&gt;0,1-$AP303,1-$AS$2))*(1-$AS$3)/1024/1024</f>
        <v>0</v>
      </c>
      <c r="AG303" t="s">
        <v>1572</v>
      </c>
      <c r="AH303" t="s">
        <v>582</v>
      </c>
      <c r="AI303">
        <v>8</v>
      </c>
      <c r="AJ303">
        <v>32</v>
      </c>
      <c r="AK303">
        <v>8</v>
      </c>
      <c r="AL303">
        <v>6</v>
      </c>
      <c r="AM303">
        <v>104</v>
      </c>
      <c r="AN303">
        <v>362</v>
      </c>
      <c r="AO303">
        <v>32</v>
      </c>
      <c r="AP303" s="44"/>
      <c r="AQ303" s="27">
        <f t="shared" si="63"/>
        <v>509.8</v>
      </c>
    </row>
    <row r="304" spans="1:43" ht="12.75">
      <c r="A304" t="s">
        <v>1523</v>
      </c>
      <c r="B304" t="s">
        <v>1578</v>
      </c>
      <c r="C304" t="s">
        <v>1546</v>
      </c>
      <c r="D304" s="19">
        <v>20</v>
      </c>
      <c r="E304" s="79" t="s">
        <v>1904</v>
      </c>
      <c r="F304" s="19"/>
      <c r="G304" s="4">
        <f>IF(F304&gt;0,F304,IF(PrefetchDBSummary!$C$10="B",AJ304,8))</f>
        <v>8</v>
      </c>
      <c r="H304" s="4">
        <f>PrefetchDBSummary!$C$36</f>
        <v>0</v>
      </c>
      <c r="I304" s="4">
        <f>PrefetchDBSummary!$D$36</f>
        <v>0</v>
      </c>
      <c r="J304" s="5">
        <f t="shared" si="59"/>
        <v>0</v>
      </c>
      <c r="K304" s="4">
        <f t="shared" si="60"/>
        <v>0</v>
      </c>
      <c r="L304" s="4">
        <f t="shared" si="61"/>
        <v>0</v>
      </c>
      <c r="M304" s="5">
        <f t="shared" si="62"/>
        <v>0</v>
      </c>
      <c r="N304" s="17">
        <f t="shared" si="71"/>
        <v>0</v>
      </c>
      <c r="O304" s="32">
        <f t="shared" si="72"/>
        <v>0</v>
      </c>
      <c r="AG304" t="s">
        <v>1573</v>
      </c>
      <c r="AH304" t="s">
        <v>583</v>
      </c>
      <c r="AI304">
        <v>8</v>
      </c>
      <c r="AJ304">
        <v>8</v>
      </c>
      <c r="AK304">
        <v>6</v>
      </c>
      <c r="AL304">
        <v>3</v>
      </c>
      <c r="AM304">
        <v>190</v>
      </c>
      <c r="AN304">
        <v>319</v>
      </c>
      <c r="AO304">
        <v>160</v>
      </c>
      <c r="AP304" s="44"/>
      <c r="AQ304" s="27">
        <f t="shared" si="63"/>
        <v>2704</v>
      </c>
    </row>
    <row r="305" spans="1:43" ht="12.75">
      <c r="A305" t="s">
        <v>1523</v>
      </c>
      <c r="B305" t="s">
        <v>1578</v>
      </c>
      <c r="C305" t="s">
        <v>1547</v>
      </c>
      <c r="D305" s="19">
        <v>4</v>
      </c>
      <c r="E305" s="79" t="s">
        <v>1910</v>
      </c>
      <c r="F305" s="19"/>
      <c r="G305" s="4">
        <f>IF(F305&gt;0,F305,IF(PrefetchDBSummary!$C$10="B",AJ305,8))</f>
        <v>8</v>
      </c>
      <c r="H305" s="4">
        <f>PrefetchDBSummary!$C$36</f>
        <v>0</v>
      </c>
      <c r="I305" s="4">
        <f>PrefetchDBSummary!$D$36</f>
        <v>0</v>
      </c>
      <c r="J305" s="5">
        <f t="shared" si="59"/>
        <v>0</v>
      </c>
      <c r="K305" s="4">
        <f t="shared" si="60"/>
        <v>0</v>
      </c>
      <c r="L305" s="4">
        <f t="shared" si="61"/>
        <v>0</v>
      </c>
      <c r="M305" s="5">
        <f t="shared" si="62"/>
        <v>0</v>
      </c>
      <c r="N305" s="17">
        <f t="shared" si="71"/>
        <v>0</v>
      </c>
      <c r="O305" s="32">
        <f t="shared" si="72"/>
        <v>0</v>
      </c>
      <c r="AG305" t="s">
        <v>1574</v>
      </c>
      <c r="AH305" t="s">
        <v>583</v>
      </c>
      <c r="AI305">
        <v>30</v>
      </c>
      <c r="AJ305">
        <v>8</v>
      </c>
      <c r="AK305">
        <v>4</v>
      </c>
      <c r="AL305">
        <v>0</v>
      </c>
      <c r="AM305">
        <v>228</v>
      </c>
      <c r="AN305">
        <v>228</v>
      </c>
      <c r="AO305">
        <v>224</v>
      </c>
      <c r="AP305" s="44"/>
      <c r="AQ305" s="27">
        <f t="shared" si="63"/>
        <v>792.4000000000001</v>
      </c>
    </row>
    <row r="306" spans="1:43" ht="12.75">
      <c r="A306" t="s">
        <v>1523</v>
      </c>
      <c r="B306" t="s">
        <v>1578</v>
      </c>
      <c r="C306" t="s">
        <v>1548</v>
      </c>
      <c r="D306" s="19">
        <v>50</v>
      </c>
      <c r="E306" s="79" t="s">
        <v>1903</v>
      </c>
      <c r="F306" s="19"/>
      <c r="G306" s="4">
        <f>IF(F306&gt;0,F306,IF(PrefetchDBSummary!$C$10="B",AJ306,8))</f>
        <v>8</v>
      </c>
      <c r="H306" s="4">
        <f>PrefetchDBSummary!$C$36</f>
        <v>0</v>
      </c>
      <c r="I306" s="4">
        <f>PrefetchDBSummary!$D$36</f>
        <v>0</v>
      </c>
      <c r="J306" s="5">
        <f t="shared" si="59"/>
        <v>0</v>
      </c>
      <c r="K306" s="4">
        <f t="shared" si="60"/>
        <v>0</v>
      </c>
      <c r="L306" s="4">
        <f t="shared" si="61"/>
        <v>0</v>
      </c>
      <c r="M306" s="5">
        <f t="shared" si="62"/>
        <v>0</v>
      </c>
      <c r="N306" s="17">
        <f t="shared" si="71"/>
        <v>0</v>
      </c>
      <c r="O306" s="32">
        <f t="shared" si="72"/>
        <v>0</v>
      </c>
      <c r="AG306" t="s">
        <v>1575</v>
      </c>
      <c r="AH306" t="s">
        <v>583</v>
      </c>
      <c r="AI306">
        <v>8</v>
      </c>
      <c r="AJ306">
        <v>8</v>
      </c>
      <c r="AK306">
        <v>4</v>
      </c>
      <c r="AL306">
        <v>2</v>
      </c>
      <c r="AM306">
        <v>132</v>
      </c>
      <c r="AN306">
        <v>234</v>
      </c>
      <c r="AO306">
        <v>96</v>
      </c>
      <c r="AP306" s="44"/>
      <c r="AQ306" s="27">
        <f t="shared" si="63"/>
        <v>5196</v>
      </c>
    </row>
    <row r="307" spans="1:43" ht="12.75">
      <c r="A307" t="s">
        <v>1523</v>
      </c>
      <c r="B307" t="s">
        <v>1578</v>
      </c>
      <c r="C307" t="s">
        <v>1549</v>
      </c>
      <c r="D307" s="19">
        <v>50</v>
      </c>
      <c r="E307" s="79" t="s">
        <v>1911</v>
      </c>
      <c r="F307" s="19"/>
      <c r="G307" s="4">
        <f>IF(F307&gt;0,F307,IF(PrefetchDBSummary!$C$10="B",AJ307,8))</f>
        <v>8</v>
      </c>
      <c r="H307" s="4">
        <f>PrefetchDBSummary!$C$36</f>
        <v>0</v>
      </c>
      <c r="I307" s="4">
        <f>PrefetchDBSummary!$D$36</f>
        <v>0</v>
      </c>
      <c r="J307" s="5">
        <f t="shared" si="59"/>
        <v>0</v>
      </c>
      <c r="K307" s="4">
        <f t="shared" si="60"/>
        <v>0</v>
      </c>
      <c r="L307" s="4">
        <f t="shared" si="61"/>
        <v>0</v>
      </c>
      <c r="M307" s="5">
        <f t="shared" si="62"/>
        <v>0</v>
      </c>
      <c r="N307" s="17">
        <f t="shared" si="71"/>
        <v>0</v>
      </c>
      <c r="O307" s="32">
        <f t="shared" si="72"/>
        <v>0</v>
      </c>
      <c r="AG307" t="s">
        <v>1576</v>
      </c>
      <c r="AH307" t="s">
        <v>583</v>
      </c>
      <c r="AI307">
        <v>8</v>
      </c>
      <c r="AJ307">
        <v>8</v>
      </c>
      <c r="AK307">
        <v>4</v>
      </c>
      <c r="AL307">
        <v>2</v>
      </c>
      <c r="AM307">
        <v>132</v>
      </c>
      <c r="AN307">
        <v>234</v>
      </c>
      <c r="AO307">
        <v>96</v>
      </c>
      <c r="AP307" s="44"/>
      <c r="AQ307" s="27">
        <f t="shared" si="63"/>
        <v>5196</v>
      </c>
    </row>
    <row r="308" spans="1:43" ht="12.75">
      <c r="A308" t="s">
        <v>1523</v>
      </c>
      <c r="B308" t="s">
        <v>1578</v>
      </c>
      <c r="C308" t="s">
        <v>1550</v>
      </c>
      <c r="D308" s="19">
        <v>1</v>
      </c>
      <c r="E308" s="7" t="s">
        <v>1908</v>
      </c>
      <c r="F308" s="19"/>
      <c r="G308" s="4">
        <f>IF(F308&gt;0,F308,IF(PrefetchDBSummary!$C$10="B",AJ308,8))</f>
        <v>8</v>
      </c>
      <c r="H308" s="4">
        <f>PrefetchDBSummary!$C$36</f>
        <v>0</v>
      </c>
      <c r="I308" s="4">
        <f>PrefetchDBSummary!$D$36</f>
        <v>0</v>
      </c>
      <c r="J308" s="5">
        <f t="shared" si="59"/>
        <v>0</v>
      </c>
      <c r="K308" s="4">
        <f t="shared" si="60"/>
        <v>0</v>
      </c>
      <c r="L308" s="4">
        <f t="shared" si="61"/>
        <v>0</v>
      </c>
      <c r="M308" s="5">
        <f t="shared" si="62"/>
        <v>0</v>
      </c>
      <c r="N308" s="17">
        <f t="shared" si="71"/>
        <v>0</v>
      </c>
      <c r="O308" s="32">
        <f t="shared" si="72"/>
        <v>0</v>
      </c>
      <c r="AG308" t="s">
        <v>1577</v>
      </c>
      <c r="AH308" t="s">
        <v>583</v>
      </c>
      <c r="AI308">
        <v>1</v>
      </c>
      <c r="AJ308">
        <v>15</v>
      </c>
      <c r="AK308">
        <v>10</v>
      </c>
      <c r="AL308">
        <v>4</v>
      </c>
      <c r="AM308">
        <v>330</v>
      </c>
      <c r="AN308">
        <v>534</v>
      </c>
      <c r="AO308">
        <v>224</v>
      </c>
      <c r="AP308" s="44"/>
      <c r="AQ308" s="27">
        <f t="shared" si="63"/>
        <v>658.6</v>
      </c>
    </row>
    <row r="309" spans="1:43" ht="12.75">
      <c r="A309" s="18" t="s">
        <v>434</v>
      </c>
      <c r="B309" s="7" t="s">
        <v>2030</v>
      </c>
      <c r="C309" t="s">
        <v>140</v>
      </c>
      <c r="D309" s="57">
        <f>D$316/5</f>
        <v>40</v>
      </c>
      <c r="E309" s="7" t="s">
        <v>1313</v>
      </c>
      <c r="F309" s="19"/>
      <c r="G309" s="4">
        <f>IF(F309&gt;0,F309,IF(PrefetchDBSummary!$C$10="B",AJ309,8))</f>
        <v>8</v>
      </c>
      <c r="H309" s="4">
        <f>PrefetchDBSummary!$C$73</f>
        <v>0</v>
      </c>
      <c r="I309" s="4">
        <f>PrefetchDBSummary!$D$73</f>
        <v>0</v>
      </c>
      <c r="J309" s="5">
        <f t="shared" si="59"/>
        <v>0</v>
      </c>
      <c r="K309" s="4">
        <f t="shared" si="60"/>
        <v>0</v>
      </c>
      <c r="L309" s="4">
        <f t="shared" si="61"/>
        <v>0</v>
      </c>
      <c r="M309" s="5">
        <f t="shared" si="62"/>
        <v>0</v>
      </c>
      <c r="N309" s="17">
        <f t="shared" si="71"/>
        <v>0</v>
      </c>
      <c r="O309" s="32">
        <f t="shared" si="72"/>
        <v>0</v>
      </c>
      <c r="AG309" t="s">
        <v>141</v>
      </c>
      <c r="AH309" t="s">
        <v>583</v>
      </c>
      <c r="AI309">
        <v>1</v>
      </c>
      <c r="AJ309">
        <v>8</v>
      </c>
      <c r="AK309">
        <v>8</v>
      </c>
      <c r="AL309">
        <v>0</v>
      </c>
      <c r="AM309">
        <v>312</v>
      </c>
      <c r="AN309">
        <v>312</v>
      </c>
      <c r="AO309">
        <v>292</v>
      </c>
      <c r="AP309" s="47">
        <v>0.775840597758406</v>
      </c>
      <c r="AQ309" s="27">
        <f t="shared" si="63"/>
        <v>4740.181818181818</v>
      </c>
    </row>
    <row r="310" spans="1:43" ht="12.75">
      <c r="A310" s="18" t="s">
        <v>434</v>
      </c>
      <c r="B310" s="7" t="s">
        <v>2030</v>
      </c>
      <c r="C310" t="s">
        <v>1812</v>
      </c>
      <c r="D310" s="57">
        <f>D$316/5</f>
        <v>40</v>
      </c>
      <c r="E310" s="7" t="s">
        <v>1313</v>
      </c>
      <c r="F310" s="19"/>
      <c r="G310" s="4">
        <f>IF(F310&gt;0,F310,IF(PrefetchDBSummary!$C$10="B",AJ310,8))</f>
        <v>8</v>
      </c>
      <c r="H310" s="4">
        <f>PrefetchDBSummary!$C$73</f>
        <v>0</v>
      </c>
      <c r="I310" s="4">
        <f>PrefetchDBSummary!$D$73</f>
        <v>0</v>
      </c>
      <c r="J310" s="5">
        <f t="shared" si="59"/>
        <v>0</v>
      </c>
      <c r="K310" s="4">
        <f t="shared" si="60"/>
        <v>0</v>
      </c>
      <c r="L310" s="4">
        <f t="shared" si="61"/>
        <v>0</v>
      </c>
      <c r="M310" s="5">
        <f t="shared" si="62"/>
        <v>0</v>
      </c>
      <c r="N310" s="17">
        <f t="shared" si="71"/>
        <v>0</v>
      </c>
      <c r="O310" s="32">
        <f t="shared" si="72"/>
        <v>0</v>
      </c>
      <c r="AG310" t="s">
        <v>1814</v>
      </c>
      <c r="AH310" t="s">
        <v>583</v>
      </c>
      <c r="AI310">
        <v>5</v>
      </c>
      <c r="AJ310">
        <v>32</v>
      </c>
      <c r="AK310">
        <v>13</v>
      </c>
      <c r="AL310">
        <v>6</v>
      </c>
      <c r="AM310">
        <v>541</v>
      </c>
      <c r="AN310">
        <v>727</v>
      </c>
      <c r="AO310">
        <v>460</v>
      </c>
      <c r="AP310" s="47">
        <v>0.775840597758406</v>
      </c>
      <c r="AQ310" s="27">
        <f t="shared" si="63"/>
        <v>8781.53300124533</v>
      </c>
    </row>
    <row r="311" spans="1:43" ht="12.75">
      <c r="A311" s="18" t="s">
        <v>434</v>
      </c>
      <c r="B311" s="7" t="s">
        <v>2030</v>
      </c>
      <c r="C311" t="s">
        <v>142</v>
      </c>
      <c r="D311" s="57">
        <f>D$316/5/2</f>
        <v>20</v>
      </c>
      <c r="E311" s="7" t="s">
        <v>1314</v>
      </c>
      <c r="F311" s="19"/>
      <c r="G311" s="4">
        <f>IF(F311&gt;0,F311,IF(PrefetchDBSummary!$C$10="B",AJ311,8))</f>
        <v>8</v>
      </c>
      <c r="H311" s="4">
        <f>PrefetchDBSummary!$C$73</f>
        <v>0</v>
      </c>
      <c r="I311" s="4">
        <f>PrefetchDBSummary!$D$73</f>
        <v>0</v>
      </c>
      <c r="J311" s="5">
        <f t="shared" si="59"/>
        <v>0</v>
      </c>
      <c r="K311" s="4">
        <f t="shared" si="60"/>
        <v>0</v>
      </c>
      <c r="L311" s="4">
        <f t="shared" si="61"/>
        <v>0</v>
      </c>
      <c r="M311" s="5">
        <f t="shared" si="62"/>
        <v>0</v>
      </c>
      <c r="N311" s="17">
        <f t="shared" si="71"/>
        <v>0</v>
      </c>
      <c r="O311" s="32">
        <f t="shared" si="72"/>
        <v>0</v>
      </c>
      <c r="AG311" t="s">
        <v>143</v>
      </c>
      <c r="AH311" t="s">
        <v>583</v>
      </c>
      <c r="AI311">
        <v>1</v>
      </c>
      <c r="AJ311">
        <v>8</v>
      </c>
      <c r="AK311">
        <v>14</v>
      </c>
      <c r="AL311">
        <v>2</v>
      </c>
      <c r="AM311">
        <v>670</v>
      </c>
      <c r="AN311">
        <v>748</v>
      </c>
      <c r="AO311">
        <v>604</v>
      </c>
      <c r="AP311" s="47">
        <v>0.8239130434782609</v>
      </c>
      <c r="AQ311" s="27">
        <f t="shared" si="63"/>
        <v>4423.130434782608</v>
      </c>
    </row>
    <row r="312" spans="1:43" ht="12.75">
      <c r="A312" s="18" t="s">
        <v>434</v>
      </c>
      <c r="B312" s="7" t="s">
        <v>2030</v>
      </c>
      <c r="C312" t="s">
        <v>581</v>
      </c>
      <c r="D312" s="19">
        <v>0</v>
      </c>
      <c r="E312" s="7" t="s">
        <v>1315</v>
      </c>
      <c r="F312" s="19"/>
      <c r="G312" s="4">
        <f>IF(F312&gt;0,F312,IF(PrefetchDBSummary!$C$10="B",AJ312,8))</f>
        <v>8</v>
      </c>
      <c r="H312" s="4">
        <f>PrefetchDBSummary!$C$73</f>
        <v>0</v>
      </c>
      <c r="I312" s="4">
        <f>PrefetchDBSummary!$D$73</f>
        <v>0</v>
      </c>
      <c r="J312" s="5">
        <f t="shared" si="59"/>
        <v>0</v>
      </c>
      <c r="K312" s="4">
        <f t="shared" si="60"/>
        <v>0</v>
      </c>
      <c r="L312" s="4">
        <f t="shared" si="61"/>
        <v>0</v>
      </c>
      <c r="M312" s="5">
        <f t="shared" si="62"/>
        <v>0</v>
      </c>
      <c r="N312" s="17">
        <f t="shared" si="71"/>
        <v>0</v>
      </c>
      <c r="O312" s="32">
        <f t="shared" si="72"/>
        <v>0</v>
      </c>
      <c r="AG312" t="s">
        <v>475</v>
      </c>
      <c r="AH312" t="s">
        <v>583</v>
      </c>
      <c r="AI312">
        <v>1</v>
      </c>
      <c r="AJ312">
        <v>8</v>
      </c>
      <c r="AK312">
        <v>10</v>
      </c>
      <c r="AL312">
        <v>0</v>
      </c>
      <c r="AM312">
        <v>386</v>
      </c>
      <c r="AN312">
        <v>386</v>
      </c>
      <c r="AO312">
        <v>348</v>
      </c>
      <c r="AP312" s="47"/>
      <c r="AQ312" s="27">
        <f t="shared" si="63"/>
        <v>440</v>
      </c>
    </row>
    <row r="313" spans="1:43" ht="12.75">
      <c r="A313" s="18" t="s">
        <v>434</v>
      </c>
      <c r="B313" s="7" t="s">
        <v>2030</v>
      </c>
      <c r="C313" t="s">
        <v>338</v>
      </c>
      <c r="D313" s="19">
        <v>1</v>
      </c>
      <c r="E313" s="7" t="s">
        <v>1316</v>
      </c>
      <c r="F313" s="19"/>
      <c r="G313" s="4">
        <f>IF(F313&gt;0,F313,IF(PrefetchDBSummary!$C$10="B",AJ313,8))</f>
        <v>8</v>
      </c>
      <c r="H313" s="4">
        <f>PrefetchDBSummary!$C$73</f>
        <v>0</v>
      </c>
      <c r="I313" s="4">
        <f>PrefetchDBSummary!$D$73</f>
        <v>0</v>
      </c>
      <c r="J313" s="5">
        <f t="shared" si="59"/>
        <v>0</v>
      </c>
      <c r="K313" s="4">
        <f t="shared" si="60"/>
        <v>0</v>
      </c>
      <c r="L313" s="4">
        <f t="shared" si="61"/>
        <v>0</v>
      </c>
      <c r="M313" s="5">
        <f t="shared" si="62"/>
        <v>0</v>
      </c>
      <c r="N313" s="17">
        <f t="shared" si="71"/>
        <v>0</v>
      </c>
      <c r="O313" s="32">
        <f t="shared" si="72"/>
        <v>0</v>
      </c>
      <c r="AG313" t="s">
        <v>339</v>
      </c>
      <c r="AH313" t="s">
        <v>583</v>
      </c>
      <c r="AI313">
        <v>1</v>
      </c>
      <c r="AJ313">
        <v>8</v>
      </c>
      <c r="AK313">
        <v>12</v>
      </c>
      <c r="AL313">
        <v>7</v>
      </c>
      <c r="AM313">
        <v>252</v>
      </c>
      <c r="AN313">
        <v>291</v>
      </c>
      <c r="AO313">
        <v>176</v>
      </c>
      <c r="AP313" s="47">
        <v>0.7386363636363636</v>
      </c>
      <c r="AQ313" s="27">
        <f t="shared" si="63"/>
        <v>623</v>
      </c>
    </row>
    <row r="314" spans="1:43" ht="12.75">
      <c r="A314" s="18" t="s">
        <v>434</v>
      </c>
      <c r="B314" s="7" t="s">
        <v>2030</v>
      </c>
      <c r="C314" t="s">
        <v>139</v>
      </c>
      <c r="D314" s="19">
        <v>0</v>
      </c>
      <c r="E314" s="7" t="s">
        <v>763</v>
      </c>
      <c r="F314" s="19"/>
      <c r="G314" s="4">
        <f>IF(F314&gt;0,F314,IF(PrefetchDBSummary!$C$10="B",AJ314,8))</f>
        <v>8</v>
      </c>
      <c r="H314" s="4">
        <f>PrefetchDBSummary!$C$73</f>
        <v>0</v>
      </c>
      <c r="I314" s="4">
        <f>PrefetchDBSummary!$D$73</f>
        <v>0</v>
      </c>
      <c r="J314" s="5">
        <f t="shared" si="59"/>
        <v>0</v>
      </c>
      <c r="K314" s="4">
        <f t="shared" si="60"/>
        <v>0</v>
      </c>
      <c r="L314" s="4">
        <f t="shared" si="61"/>
        <v>0</v>
      </c>
      <c r="M314" s="5">
        <f t="shared" si="62"/>
        <v>0</v>
      </c>
      <c r="N314" s="17">
        <f t="shared" si="71"/>
        <v>0</v>
      </c>
      <c r="O314" s="32">
        <f t="shared" si="72"/>
        <v>0</v>
      </c>
      <c r="AG314" t="s">
        <v>354</v>
      </c>
      <c r="AH314" t="s">
        <v>583</v>
      </c>
      <c r="AI314">
        <v>1</v>
      </c>
      <c r="AJ314">
        <v>8</v>
      </c>
      <c r="AK314">
        <v>9</v>
      </c>
      <c r="AL314">
        <v>0</v>
      </c>
      <c r="AM314">
        <v>629</v>
      </c>
      <c r="AN314">
        <v>629</v>
      </c>
      <c r="AO314">
        <v>576</v>
      </c>
      <c r="AP314" s="47">
        <v>0.7523148148148149</v>
      </c>
      <c r="AQ314" s="27">
        <f t="shared" si="63"/>
        <v>421</v>
      </c>
    </row>
    <row r="315" spans="1:43" ht="12.75">
      <c r="A315" s="18" t="s">
        <v>434</v>
      </c>
      <c r="B315" s="7" t="s">
        <v>2030</v>
      </c>
      <c r="C315" t="s">
        <v>340</v>
      </c>
      <c r="D315" s="19">
        <v>3</v>
      </c>
      <c r="E315" s="7" t="s">
        <v>762</v>
      </c>
      <c r="F315" s="19"/>
      <c r="G315" s="4">
        <f>IF(F315&gt;0,F315,IF(PrefetchDBSummary!$C$10="B",AJ315,8))</f>
        <v>8</v>
      </c>
      <c r="H315" s="4">
        <f>PrefetchDBSummary!$C$73</f>
        <v>0</v>
      </c>
      <c r="I315" s="4">
        <f>PrefetchDBSummary!$D$73</f>
        <v>0</v>
      </c>
      <c r="J315" s="5">
        <f t="shared" si="59"/>
        <v>0</v>
      </c>
      <c r="K315" s="4">
        <f t="shared" si="60"/>
        <v>0</v>
      </c>
      <c r="L315" s="4">
        <f t="shared" si="61"/>
        <v>0</v>
      </c>
      <c r="M315" s="5">
        <f t="shared" si="62"/>
        <v>0</v>
      </c>
      <c r="N315" s="17">
        <f t="shared" si="71"/>
        <v>0</v>
      </c>
      <c r="O315" s="32">
        <f t="shared" si="72"/>
        <v>0</v>
      </c>
      <c r="AG315" t="s">
        <v>341</v>
      </c>
      <c r="AH315" t="s">
        <v>583</v>
      </c>
      <c r="AI315">
        <v>1</v>
      </c>
      <c r="AJ315">
        <v>8</v>
      </c>
      <c r="AK315">
        <v>9</v>
      </c>
      <c r="AL315">
        <v>1</v>
      </c>
      <c r="AM315">
        <v>517</v>
      </c>
      <c r="AN315">
        <v>556</v>
      </c>
      <c r="AO315">
        <v>488</v>
      </c>
      <c r="AP315" s="47">
        <v>0.7901785714285714</v>
      </c>
      <c r="AQ315" s="27">
        <f t="shared" si="63"/>
        <v>884.1785714285716</v>
      </c>
    </row>
    <row r="316" spans="1:43" ht="12.75">
      <c r="A316" s="18" t="s">
        <v>434</v>
      </c>
      <c r="B316" s="7" t="s">
        <v>2030</v>
      </c>
      <c r="C316" t="s">
        <v>342</v>
      </c>
      <c r="D316" s="4">
        <f>PrefetchDBSummary!$E$73</f>
        <v>200</v>
      </c>
      <c r="E316" s="7" t="s">
        <v>1317</v>
      </c>
      <c r="F316" s="19"/>
      <c r="G316" s="4">
        <f>IF(F316&gt;0,F316,IF(PrefetchDBSummary!$C$10="B",AJ316,8))</f>
        <v>8</v>
      </c>
      <c r="H316" s="4">
        <f>PrefetchDBSummary!$C$73</f>
        <v>0</v>
      </c>
      <c r="I316" s="4">
        <f>PrefetchDBSummary!$D$73</f>
        <v>0</v>
      </c>
      <c r="J316" s="5">
        <f t="shared" si="59"/>
        <v>0</v>
      </c>
      <c r="K316" s="4">
        <f t="shared" si="60"/>
        <v>0</v>
      </c>
      <c r="L316" s="4">
        <f t="shared" si="61"/>
        <v>0</v>
      </c>
      <c r="M316" s="5">
        <f t="shared" si="62"/>
        <v>0</v>
      </c>
      <c r="N316" s="17">
        <f t="shared" si="71"/>
        <v>0</v>
      </c>
      <c r="O316" s="32">
        <f t="shared" si="72"/>
        <v>0</v>
      </c>
      <c r="AG316" t="s">
        <v>343</v>
      </c>
      <c r="AH316" t="s">
        <v>583</v>
      </c>
      <c r="AI316">
        <v>1</v>
      </c>
      <c r="AJ316">
        <v>32</v>
      </c>
      <c r="AK316">
        <v>13</v>
      </c>
      <c r="AL316">
        <v>5</v>
      </c>
      <c r="AM316">
        <v>345</v>
      </c>
      <c r="AN316">
        <v>564</v>
      </c>
      <c r="AO316">
        <v>272</v>
      </c>
      <c r="AP316" s="47">
        <v>0.81218671679198</v>
      </c>
      <c r="AQ316" s="27">
        <f t="shared" si="63"/>
        <v>29914.042606516294</v>
      </c>
    </row>
    <row r="317" spans="1:43" ht="12.75">
      <c r="A317" s="18" t="s">
        <v>434</v>
      </c>
      <c r="B317" s="7" t="s">
        <v>2030</v>
      </c>
      <c r="C317" t="s">
        <v>1813</v>
      </c>
      <c r="D317" s="4">
        <f>PrefetchDBSummary!$E$73</f>
        <v>200</v>
      </c>
      <c r="E317" s="7" t="s">
        <v>1317</v>
      </c>
      <c r="F317" s="19"/>
      <c r="G317" s="4">
        <f>IF(F317&gt;0,F317,IF(PrefetchDBSummary!$C$10="B",AJ317,8))</f>
        <v>8</v>
      </c>
      <c r="H317" s="4">
        <f>PrefetchDBSummary!$C$73</f>
        <v>0</v>
      </c>
      <c r="I317" s="4">
        <f>PrefetchDBSummary!$D$73</f>
        <v>0</v>
      </c>
      <c r="J317" s="5">
        <f t="shared" si="59"/>
        <v>0</v>
      </c>
      <c r="K317" s="4">
        <f t="shared" si="60"/>
        <v>0</v>
      </c>
      <c r="L317" s="4">
        <f t="shared" si="61"/>
        <v>0</v>
      </c>
      <c r="M317" s="5">
        <f t="shared" si="62"/>
        <v>0</v>
      </c>
      <c r="N317" s="17">
        <f t="shared" si="71"/>
        <v>0</v>
      </c>
      <c r="O317" s="32">
        <f t="shared" si="72"/>
        <v>0</v>
      </c>
      <c r="AG317" t="s">
        <v>1815</v>
      </c>
      <c r="AH317" t="s">
        <v>583</v>
      </c>
      <c r="AI317">
        <v>5</v>
      </c>
      <c r="AJ317">
        <v>32</v>
      </c>
      <c r="AK317">
        <v>15</v>
      </c>
      <c r="AL317">
        <v>9</v>
      </c>
      <c r="AM317">
        <v>359</v>
      </c>
      <c r="AN317">
        <v>673</v>
      </c>
      <c r="AO317">
        <v>224</v>
      </c>
      <c r="AP317" s="47">
        <v>0.81218671679198</v>
      </c>
      <c r="AQ317" s="27">
        <f t="shared" si="63"/>
        <v>40549.0350877193</v>
      </c>
    </row>
    <row r="318" spans="1:43" ht="12.75">
      <c r="A318" s="18" t="s">
        <v>434</v>
      </c>
      <c r="B318" s="7" t="s">
        <v>2030</v>
      </c>
      <c r="C318" t="s">
        <v>868</v>
      </c>
      <c r="D318" s="4">
        <f>PrefetchDBSummary!$E$73/2</f>
        <v>100</v>
      </c>
      <c r="E318" s="7" t="s">
        <v>1317</v>
      </c>
      <c r="F318" s="19"/>
      <c r="G318" s="4">
        <f>IF(F318&gt;0,F318,IF(PrefetchDBSummary!$C$10="B",AJ318,8))</f>
        <v>8</v>
      </c>
      <c r="H318" s="4">
        <f>PrefetchDBSummary!$C$73</f>
        <v>0</v>
      </c>
      <c r="I318" s="4">
        <f>PrefetchDBSummary!$D$73</f>
        <v>0</v>
      </c>
      <c r="J318" s="5">
        <f t="shared" si="59"/>
        <v>0</v>
      </c>
      <c r="K318" s="4">
        <f t="shared" si="60"/>
        <v>0</v>
      </c>
      <c r="L318" s="4">
        <f t="shared" si="61"/>
        <v>0</v>
      </c>
      <c r="M318" s="5">
        <f t="shared" si="62"/>
        <v>0</v>
      </c>
      <c r="N318" s="17">
        <f t="shared" si="71"/>
        <v>0</v>
      </c>
      <c r="O318" s="32">
        <f t="shared" si="72"/>
        <v>0</v>
      </c>
      <c r="AG318" t="s">
        <v>867</v>
      </c>
      <c r="AH318" t="s">
        <v>583</v>
      </c>
      <c r="AI318">
        <v>5</v>
      </c>
      <c r="AJ318">
        <v>8</v>
      </c>
      <c r="AK318">
        <v>7</v>
      </c>
      <c r="AL318">
        <v>0</v>
      </c>
      <c r="AM318">
        <v>271</v>
      </c>
      <c r="AN318">
        <v>271</v>
      </c>
      <c r="AO318">
        <v>224</v>
      </c>
      <c r="AP318" s="47">
        <v>0.81218671679198</v>
      </c>
      <c r="AQ318" s="27">
        <f t="shared" si="63"/>
        <v>11590.017543859649</v>
      </c>
    </row>
    <row r="319" spans="1:43" ht="12.75">
      <c r="A319" s="18" t="s">
        <v>434</v>
      </c>
      <c r="B319" s="7" t="s">
        <v>2030</v>
      </c>
      <c r="C319" t="s">
        <v>344</v>
      </c>
      <c r="D319" s="4">
        <f>PrefetchDBSummary!$E$73/20</f>
        <v>10</v>
      </c>
      <c r="E319" s="7" t="s">
        <v>1492</v>
      </c>
      <c r="F319" s="19"/>
      <c r="G319" s="4">
        <f>IF(F319&gt;0,F319,IF(PrefetchDBSummary!$C$10="B",AJ319,8))</f>
        <v>8</v>
      </c>
      <c r="H319" s="4">
        <f>PrefetchDBSummary!$C$73</f>
        <v>0</v>
      </c>
      <c r="I319" s="4">
        <f>PrefetchDBSummary!$D$73</f>
        <v>0</v>
      </c>
      <c r="J319" s="5">
        <f aca="true" t="shared" si="73" ref="J319:J382">IF(H319&gt;0,(AQ319)/(AI319*60),IF(I319&gt;0,(AQ319)/(5*60),0))</f>
        <v>0</v>
      </c>
      <c r="K319" s="4">
        <f aca="true" t="shared" si="74" ref="K319:K382">IF(H319&gt;0,D319/AI319,IF(I319&gt;0,D319/5,0))</f>
        <v>0</v>
      </c>
      <c r="L319" s="4">
        <f aca="true" t="shared" si="75" ref="L319:L382">H319*D319/AI319+I319*D319/5</f>
        <v>0</v>
      </c>
      <c r="M319" s="5">
        <f aca="true" t="shared" si="76" ref="M319:M382">L319*AM319*(1-IF(AP319&gt;0,AP319,$AS$2)*$AS$3)/1024</f>
        <v>0</v>
      </c>
      <c r="N319" s="17">
        <f t="shared" si="71"/>
        <v>0</v>
      </c>
      <c r="O319" s="32">
        <f t="shared" si="72"/>
        <v>0</v>
      </c>
      <c r="AG319" t="s">
        <v>345</v>
      </c>
      <c r="AH319" t="s">
        <v>583</v>
      </c>
      <c r="AI319">
        <v>1</v>
      </c>
      <c r="AJ319">
        <v>8</v>
      </c>
      <c r="AK319">
        <v>8</v>
      </c>
      <c r="AL319">
        <v>4</v>
      </c>
      <c r="AM319">
        <v>264</v>
      </c>
      <c r="AN319">
        <v>420</v>
      </c>
      <c r="AO319">
        <v>224</v>
      </c>
      <c r="AP319" s="47">
        <v>0.7248883928571428</v>
      </c>
      <c r="AQ319" s="27">
        <f t="shared" si="63"/>
        <v>1648.2500000000002</v>
      </c>
    </row>
    <row r="320" spans="1:43" ht="12.75">
      <c r="A320" s="1" t="s">
        <v>553</v>
      </c>
      <c r="B320" s="18" t="s">
        <v>2031</v>
      </c>
      <c r="C320" t="s">
        <v>27</v>
      </c>
      <c r="D320" s="19">
        <v>1</v>
      </c>
      <c r="E320" s="7" t="s">
        <v>742</v>
      </c>
      <c r="F320" s="19"/>
      <c r="G320" s="4">
        <f>IF(F320&gt;0,F320,IF(PrefetchDBSummary!$C$10="B",AJ320,8))</f>
        <v>8</v>
      </c>
      <c r="H320" s="4">
        <f>PrefetchDBSummary!$C$42</f>
        <v>0</v>
      </c>
      <c r="I320" s="4">
        <f>PrefetchDBSummary!$D$42</f>
        <v>0</v>
      </c>
      <c r="J320" s="5">
        <f t="shared" si="73"/>
        <v>0</v>
      </c>
      <c r="K320" s="4">
        <f t="shared" si="74"/>
        <v>0</v>
      </c>
      <c r="L320" s="4">
        <f t="shared" si="75"/>
        <v>0</v>
      </c>
      <c r="M320" s="5">
        <f t="shared" si="76"/>
        <v>0</v>
      </c>
      <c r="N320" s="17">
        <f t="shared" si="71"/>
        <v>0</v>
      </c>
      <c r="O320" s="32">
        <f t="shared" si="72"/>
        <v>0</v>
      </c>
      <c r="AG320" t="s">
        <v>28</v>
      </c>
      <c r="AH320" t="s">
        <v>583</v>
      </c>
      <c r="AI320">
        <v>1</v>
      </c>
      <c r="AJ320">
        <v>32</v>
      </c>
      <c r="AK320">
        <v>12</v>
      </c>
      <c r="AL320">
        <v>6</v>
      </c>
      <c r="AM320">
        <v>312</v>
      </c>
      <c r="AN320">
        <v>594</v>
      </c>
      <c r="AO320">
        <v>192</v>
      </c>
      <c r="AQ320" s="27">
        <f aca="true" t="shared" si="77" ref="AQ320:AQ383">250+19*AK320+D320*(23+(AM320-AO320)+AO320*(1-IF(AP320&gt;0,AP320,$AS$2)))</f>
        <v>697.8</v>
      </c>
    </row>
    <row r="321" spans="1:43" ht="12.75">
      <c r="A321" s="1" t="s">
        <v>553</v>
      </c>
      <c r="B321" s="18" t="s">
        <v>2031</v>
      </c>
      <c r="C321" t="s">
        <v>1579</v>
      </c>
      <c r="D321" s="19">
        <v>1</v>
      </c>
      <c r="E321" s="7" t="s">
        <v>710</v>
      </c>
      <c r="F321" s="19"/>
      <c r="G321" s="4">
        <f>IF(F321&gt;0,F321,IF(PrefetchDBSummary!$C$10="B",AJ321,8))</f>
        <v>8</v>
      </c>
      <c r="H321" s="4">
        <f>PrefetchDBSummary!$C$42</f>
        <v>0</v>
      </c>
      <c r="I321" s="4">
        <f>PrefetchDBSummary!$D$42</f>
        <v>0</v>
      </c>
      <c r="J321" s="5">
        <f t="shared" si="73"/>
        <v>0</v>
      </c>
      <c r="K321" s="4">
        <f t="shared" si="74"/>
        <v>0</v>
      </c>
      <c r="L321" s="4">
        <f t="shared" si="75"/>
        <v>0</v>
      </c>
      <c r="M321" s="5">
        <f t="shared" si="76"/>
        <v>0</v>
      </c>
      <c r="N321" s="17">
        <f t="shared" si="71"/>
        <v>0</v>
      </c>
      <c r="O321" s="32">
        <f t="shared" si="72"/>
        <v>0</v>
      </c>
      <c r="AG321" t="s">
        <v>1582</v>
      </c>
      <c r="AH321" t="s">
        <v>583</v>
      </c>
      <c r="AI321">
        <v>1</v>
      </c>
      <c r="AJ321">
        <v>32</v>
      </c>
      <c r="AK321">
        <v>5</v>
      </c>
      <c r="AL321">
        <v>3</v>
      </c>
      <c r="AM321">
        <v>65</v>
      </c>
      <c r="AN321">
        <v>182</v>
      </c>
      <c r="AO321">
        <v>32</v>
      </c>
      <c r="AQ321" s="27">
        <f t="shared" si="77"/>
        <v>413.8</v>
      </c>
    </row>
    <row r="322" spans="1:43" ht="12.75">
      <c r="A322" s="1" t="s">
        <v>553</v>
      </c>
      <c r="B322" s="18" t="s">
        <v>2031</v>
      </c>
      <c r="C322" t="s">
        <v>1580</v>
      </c>
      <c r="D322" s="19">
        <v>1</v>
      </c>
      <c r="E322" s="7" t="s">
        <v>710</v>
      </c>
      <c r="F322" s="19"/>
      <c r="G322" s="4">
        <f>IF(F322&gt;0,F322,IF(PrefetchDBSummary!$C$10="B",AJ322,8))</f>
        <v>8</v>
      </c>
      <c r="H322" s="4">
        <f>PrefetchDBSummary!$C$42</f>
        <v>0</v>
      </c>
      <c r="I322" s="4">
        <f>PrefetchDBSummary!$D$42</f>
        <v>0</v>
      </c>
      <c r="J322" s="5">
        <f t="shared" si="73"/>
        <v>0</v>
      </c>
      <c r="K322" s="4">
        <f t="shared" si="74"/>
        <v>0</v>
      </c>
      <c r="L322" s="4">
        <f t="shared" si="75"/>
        <v>0</v>
      </c>
      <c r="M322" s="5">
        <f t="shared" si="76"/>
        <v>0</v>
      </c>
      <c r="N322" s="17">
        <f t="shared" si="71"/>
        <v>0</v>
      </c>
      <c r="O322" s="32">
        <f t="shared" si="72"/>
        <v>0</v>
      </c>
      <c r="AG322" t="s">
        <v>1583</v>
      </c>
      <c r="AH322" t="s">
        <v>583</v>
      </c>
      <c r="AI322">
        <v>1</v>
      </c>
      <c r="AJ322">
        <v>32</v>
      </c>
      <c r="AK322">
        <v>7</v>
      </c>
      <c r="AL322">
        <v>5</v>
      </c>
      <c r="AM322">
        <v>75</v>
      </c>
      <c r="AN322">
        <v>270</v>
      </c>
      <c r="AO322">
        <v>32</v>
      </c>
      <c r="AQ322" s="27">
        <f t="shared" si="77"/>
        <v>461.8</v>
      </c>
    </row>
    <row r="323" spans="1:43" ht="12.75">
      <c r="A323" s="1" t="s">
        <v>553</v>
      </c>
      <c r="B323" s="18" t="s">
        <v>2031</v>
      </c>
      <c r="C323" t="s">
        <v>25</v>
      </c>
      <c r="D323" s="74">
        <v>49</v>
      </c>
      <c r="E323" s="7" t="s">
        <v>764</v>
      </c>
      <c r="F323" s="19"/>
      <c r="G323" s="4">
        <f>IF(F323&gt;0,F323,IF(PrefetchDBSummary!$C$10="B",AJ323,8))</f>
        <v>8</v>
      </c>
      <c r="H323" s="4">
        <f>PrefetchDBSummary!$C$42</f>
        <v>0</v>
      </c>
      <c r="I323" s="4">
        <f>PrefetchDBSummary!$D$42</f>
        <v>0</v>
      </c>
      <c r="J323" s="5">
        <f t="shared" si="73"/>
        <v>0</v>
      </c>
      <c r="K323" s="4">
        <f t="shared" si="74"/>
        <v>0</v>
      </c>
      <c r="L323" s="4">
        <f t="shared" si="75"/>
        <v>0</v>
      </c>
      <c r="M323" s="5">
        <f t="shared" si="76"/>
        <v>0</v>
      </c>
      <c r="N323" s="17">
        <f t="shared" si="71"/>
        <v>0</v>
      </c>
      <c r="O323" s="32">
        <f t="shared" si="72"/>
        <v>0</v>
      </c>
      <c r="AG323" t="s">
        <v>26</v>
      </c>
      <c r="AH323" t="s">
        <v>583</v>
      </c>
      <c r="AI323">
        <v>1</v>
      </c>
      <c r="AJ323">
        <v>32</v>
      </c>
      <c r="AK323">
        <v>5</v>
      </c>
      <c r="AL323">
        <v>2</v>
      </c>
      <c r="AM323">
        <v>309</v>
      </c>
      <c r="AN323">
        <v>387</v>
      </c>
      <c r="AO323">
        <v>288</v>
      </c>
      <c r="AQ323" s="27">
        <f t="shared" si="77"/>
        <v>8145.799999999999</v>
      </c>
    </row>
    <row r="324" spans="1:43" ht="12.75">
      <c r="A324" s="1" t="s">
        <v>553</v>
      </c>
      <c r="B324" s="18" t="s">
        <v>2031</v>
      </c>
      <c r="C324" t="s">
        <v>1581</v>
      </c>
      <c r="D324" s="19">
        <v>1</v>
      </c>
      <c r="E324" s="7" t="s">
        <v>710</v>
      </c>
      <c r="F324" s="19"/>
      <c r="G324" s="4">
        <f>IF(F324&gt;0,F324,IF(PrefetchDBSummary!$C$10="B",AJ324,8))</f>
        <v>8</v>
      </c>
      <c r="H324" s="4">
        <f>PrefetchDBSummary!$C$42</f>
        <v>0</v>
      </c>
      <c r="I324" s="4">
        <f>PrefetchDBSummary!$D$42</f>
        <v>0</v>
      </c>
      <c r="J324" s="5">
        <f t="shared" si="73"/>
        <v>0</v>
      </c>
      <c r="K324" s="4">
        <f t="shared" si="74"/>
        <v>0</v>
      </c>
      <c r="L324" s="4">
        <f t="shared" si="75"/>
        <v>0</v>
      </c>
      <c r="M324" s="5">
        <f t="shared" si="76"/>
        <v>0</v>
      </c>
      <c r="N324" s="17">
        <f t="shared" si="71"/>
        <v>0</v>
      </c>
      <c r="O324" s="32">
        <f t="shared" si="72"/>
        <v>0</v>
      </c>
      <c r="AG324" t="s">
        <v>1584</v>
      </c>
      <c r="AH324" t="s">
        <v>583</v>
      </c>
      <c r="AI324">
        <v>1</v>
      </c>
      <c r="AJ324">
        <v>32</v>
      </c>
      <c r="AK324">
        <v>6</v>
      </c>
      <c r="AL324">
        <v>4</v>
      </c>
      <c r="AM324">
        <v>70</v>
      </c>
      <c r="AN324">
        <v>226</v>
      </c>
      <c r="AO324">
        <v>32</v>
      </c>
      <c r="AQ324" s="27">
        <f t="shared" si="77"/>
        <v>437.8</v>
      </c>
    </row>
    <row r="325" spans="1:43" ht="12.75">
      <c r="A325" s="1" t="s">
        <v>554</v>
      </c>
      <c r="B325" s="18" t="s">
        <v>2041</v>
      </c>
      <c r="C325" t="s">
        <v>1067</v>
      </c>
      <c r="D325" s="19">
        <v>0</v>
      </c>
      <c r="E325" s="7" t="s">
        <v>1269</v>
      </c>
      <c r="F325" s="19"/>
      <c r="G325" s="4">
        <f>IF(F325&gt;0,F325,IF(PrefetchDBSummary!$C$10="B",AJ325,8))</f>
        <v>8</v>
      </c>
      <c r="H325" s="4">
        <f>PrefetchDBSummary!$C$74</f>
        <v>10</v>
      </c>
      <c r="I325" s="4">
        <f>PrefetchDBSummary!$D$74</f>
        <v>0</v>
      </c>
      <c r="J325" s="5">
        <f t="shared" si="73"/>
        <v>1.34</v>
      </c>
      <c r="K325" s="4">
        <f t="shared" si="74"/>
        <v>0</v>
      </c>
      <c r="L325" s="4">
        <f t="shared" si="75"/>
        <v>0</v>
      </c>
      <c r="M325" s="5">
        <f t="shared" si="76"/>
        <v>0</v>
      </c>
      <c r="N325" s="17">
        <f t="shared" si="71"/>
        <v>0</v>
      </c>
      <c r="O325" s="32">
        <f t="shared" si="72"/>
        <v>0</v>
      </c>
      <c r="AG325" t="s">
        <v>1070</v>
      </c>
      <c r="AH325" t="s">
        <v>583</v>
      </c>
      <c r="AI325">
        <v>5</v>
      </c>
      <c r="AJ325">
        <v>32</v>
      </c>
      <c r="AK325">
        <v>8</v>
      </c>
      <c r="AL325">
        <v>0</v>
      </c>
      <c r="AM325">
        <v>2163</v>
      </c>
      <c r="AN325">
        <v>2163</v>
      </c>
      <c r="AO325">
        <v>2144</v>
      </c>
      <c r="AP325" s="44"/>
      <c r="AQ325" s="27">
        <f t="shared" si="77"/>
        <v>402</v>
      </c>
    </row>
    <row r="326" spans="1:43" ht="12.75">
      <c r="A326" s="1" t="s">
        <v>554</v>
      </c>
      <c r="B326" s="18" t="s">
        <v>2041</v>
      </c>
      <c r="C326" t="s">
        <v>1068</v>
      </c>
      <c r="D326" s="19">
        <v>0</v>
      </c>
      <c r="E326" s="7" t="s">
        <v>1270</v>
      </c>
      <c r="F326" s="19"/>
      <c r="G326" s="4">
        <f>IF(F326&gt;0,F326,IF(PrefetchDBSummary!$C$10="B",AJ326,8))</f>
        <v>8</v>
      </c>
      <c r="H326" s="4">
        <f>PrefetchDBSummary!$C$74</f>
        <v>10</v>
      </c>
      <c r="I326" s="4">
        <f>PrefetchDBSummary!$D$74</f>
        <v>0</v>
      </c>
      <c r="J326" s="5">
        <f t="shared" si="73"/>
        <v>1.8466666666666667</v>
      </c>
      <c r="K326" s="4">
        <f t="shared" si="74"/>
        <v>0</v>
      </c>
      <c r="L326" s="4">
        <f t="shared" si="75"/>
        <v>0</v>
      </c>
      <c r="M326" s="5">
        <f t="shared" si="76"/>
        <v>0</v>
      </c>
      <c r="N326" s="17">
        <f t="shared" si="71"/>
        <v>0</v>
      </c>
      <c r="O326" s="32">
        <f t="shared" si="72"/>
        <v>0</v>
      </c>
      <c r="AG326" t="s">
        <v>1071</v>
      </c>
      <c r="AH326" t="s">
        <v>583</v>
      </c>
      <c r="AI326">
        <v>5</v>
      </c>
      <c r="AJ326">
        <v>8</v>
      </c>
      <c r="AK326">
        <v>16</v>
      </c>
      <c r="AL326">
        <v>3</v>
      </c>
      <c r="AM326">
        <v>1216</v>
      </c>
      <c r="AN326">
        <v>1273</v>
      </c>
      <c r="AO326">
        <v>1120</v>
      </c>
      <c r="AP326" s="44"/>
      <c r="AQ326" s="27">
        <f t="shared" si="77"/>
        <v>554</v>
      </c>
    </row>
    <row r="327" spans="1:43" ht="12.75">
      <c r="A327" s="1" t="s">
        <v>554</v>
      </c>
      <c r="B327" s="18" t="s">
        <v>2041</v>
      </c>
      <c r="C327" t="s">
        <v>1069</v>
      </c>
      <c r="D327" s="19">
        <v>0</v>
      </c>
      <c r="E327" s="7" t="s">
        <v>1271</v>
      </c>
      <c r="F327" s="19"/>
      <c r="G327" s="4">
        <f>IF(F327&gt;0,F327,IF(PrefetchDBSummary!$C$10="B",AJ327,8))</f>
        <v>8</v>
      </c>
      <c r="H327" s="4">
        <f>PrefetchDBSummary!$C$74</f>
        <v>10</v>
      </c>
      <c r="I327" s="4">
        <f>PrefetchDBSummary!$D$74</f>
        <v>0</v>
      </c>
      <c r="J327" s="5">
        <f t="shared" si="73"/>
        <v>11.45</v>
      </c>
      <c r="K327" s="4">
        <f t="shared" si="74"/>
        <v>0</v>
      </c>
      <c r="L327" s="4">
        <f t="shared" si="75"/>
        <v>0</v>
      </c>
      <c r="M327" s="5">
        <f t="shared" si="76"/>
        <v>0</v>
      </c>
      <c r="N327" s="17">
        <f t="shared" si="71"/>
        <v>0</v>
      </c>
      <c r="O327" s="32">
        <f t="shared" si="72"/>
        <v>0</v>
      </c>
      <c r="AG327" t="s">
        <v>1072</v>
      </c>
      <c r="AH327" t="s">
        <v>583</v>
      </c>
      <c r="AI327">
        <v>1</v>
      </c>
      <c r="AJ327">
        <v>8</v>
      </c>
      <c r="AK327">
        <v>23</v>
      </c>
      <c r="AL327">
        <v>5</v>
      </c>
      <c r="AM327">
        <v>5167</v>
      </c>
      <c r="AN327">
        <v>5378</v>
      </c>
      <c r="AO327">
        <v>5088</v>
      </c>
      <c r="AP327" s="44"/>
      <c r="AQ327" s="27">
        <f t="shared" si="77"/>
        <v>687</v>
      </c>
    </row>
    <row r="328" spans="1:43" ht="12.75">
      <c r="A328" s="1" t="s">
        <v>554</v>
      </c>
      <c r="B328" s="18" t="s">
        <v>2041</v>
      </c>
      <c r="C328" t="s">
        <v>98</v>
      </c>
      <c r="D328" s="19">
        <v>1</v>
      </c>
      <c r="E328" s="7" t="str">
        <f>IF(AH328="S","Always one row per interval","")</f>
        <v>Always one row per interval</v>
      </c>
      <c r="F328" s="19"/>
      <c r="G328" s="4">
        <f>IF(F328&gt;0,F328,IF(PrefetchDBSummary!$C$10="B",AJ328,8))</f>
        <v>8</v>
      </c>
      <c r="H328" s="4">
        <f>PrefetchDBSummary!$C$74</f>
        <v>10</v>
      </c>
      <c r="I328" s="4">
        <f>PrefetchDBSummary!$D$74</f>
        <v>0</v>
      </c>
      <c r="J328" s="5">
        <f t="shared" si="73"/>
        <v>1.5760416666666666</v>
      </c>
      <c r="K328" s="4">
        <f t="shared" si="74"/>
        <v>0.125</v>
      </c>
      <c r="L328" s="4">
        <f t="shared" si="75"/>
        <v>1.25</v>
      </c>
      <c r="M328" s="5">
        <f t="shared" si="76"/>
        <v>0.6094818115234374</v>
      </c>
      <c r="N328" s="17">
        <f t="shared" si="71"/>
        <v>14400</v>
      </c>
      <c r="O328" s="32">
        <f t="shared" si="72"/>
        <v>2.9402160644531246</v>
      </c>
      <c r="AG328" t="s">
        <v>377</v>
      </c>
      <c r="AH328" t="s">
        <v>582</v>
      </c>
      <c r="AI328">
        <v>8</v>
      </c>
      <c r="AJ328">
        <v>8</v>
      </c>
      <c r="AK328">
        <v>10</v>
      </c>
      <c r="AL328">
        <v>0</v>
      </c>
      <c r="AM328">
        <v>1354</v>
      </c>
      <c r="AN328">
        <v>1354</v>
      </c>
      <c r="AO328">
        <v>1344</v>
      </c>
      <c r="AP328" s="44">
        <v>0.7890625</v>
      </c>
      <c r="AQ328" s="27">
        <f t="shared" si="77"/>
        <v>756.5</v>
      </c>
    </row>
    <row r="329" spans="1:43" ht="12.75">
      <c r="A329" s="1" t="s">
        <v>554</v>
      </c>
      <c r="B329" s="18" t="s">
        <v>2041</v>
      </c>
      <c r="C329" t="s">
        <v>326</v>
      </c>
      <c r="D329" s="19">
        <v>7</v>
      </c>
      <c r="E329" s="7" t="s">
        <v>765</v>
      </c>
      <c r="F329" s="19"/>
      <c r="G329" s="4">
        <f>IF(F329&gt;0,F329,IF(PrefetchDBSummary!$C$10="B",AJ329,8))</f>
        <v>8</v>
      </c>
      <c r="H329" s="4">
        <f>PrefetchDBSummary!$C$74</f>
        <v>10</v>
      </c>
      <c r="I329" s="4">
        <f>PrefetchDBSummary!$D$74</f>
        <v>0</v>
      </c>
      <c r="J329" s="5">
        <f t="shared" si="73"/>
        <v>5.007888576779026</v>
      </c>
      <c r="K329" s="4">
        <f t="shared" si="74"/>
        <v>0.875</v>
      </c>
      <c r="L329" s="4">
        <f t="shared" si="75"/>
        <v>8.75</v>
      </c>
      <c r="M329" s="5">
        <f t="shared" si="76"/>
        <v>2.831674640098315</v>
      </c>
      <c r="N329" s="17">
        <f t="shared" si="71"/>
        <v>100800</v>
      </c>
      <c r="O329" s="32">
        <f t="shared" si="72"/>
        <v>5.771155196629212</v>
      </c>
      <c r="AG329" t="s">
        <v>327</v>
      </c>
      <c r="AH329" t="s">
        <v>583</v>
      </c>
      <c r="AI329">
        <v>8</v>
      </c>
      <c r="AJ329">
        <v>8</v>
      </c>
      <c r="AK329">
        <v>4</v>
      </c>
      <c r="AL329">
        <v>0</v>
      </c>
      <c r="AM329">
        <v>570</v>
      </c>
      <c r="AN329">
        <v>570</v>
      </c>
      <c r="AO329">
        <v>566</v>
      </c>
      <c r="AP329" s="44">
        <v>0.5232744783306581</v>
      </c>
      <c r="AQ329" s="27">
        <f t="shared" si="77"/>
        <v>2403.7865168539324</v>
      </c>
    </row>
    <row r="330" spans="1:43" ht="12.75">
      <c r="A330" s="1" t="s">
        <v>554</v>
      </c>
      <c r="B330" s="18" t="s">
        <v>2041</v>
      </c>
      <c r="C330" t="s">
        <v>87</v>
      </c>
      <c r="D330" s="19">
        <v>4</v>
      </c>
      <c r="E330" s="7" t="s">
        <v>768</v>
      </c>
      <c r="F330" s="19"/>
      <c r="G330" s="4">
        <f>IF(F330&gt;0,F330,IF(PrefetchDBSummary!$C$10="B",AJ330,8))</f>
        <v>8</v>
      </c>
      <c r="H330" s="4">
        <f>PrefetchDBSummary!$C$74</f>
        <v>10</v>
      </c>
      <c r="I330" s="4">
        <f>PrefetchDBSummary!$D$74</f>
        <v>0</v>
      </c>
      <c r="J330" s="5">
        <f t="shared" si="73"/>
        <v>4.13875</v>
      </c>
      <c r="K330" s="4">
        <f t="shared" si="74"/>
        <v>0.8</v>
      </c>
      <c r="L330" s="4">
        <f t="shared" si="75"/>
        <v>8</v>
      </c>
      <c r="M330" s="5">
        <f t="shared" si="76"/>
        <v>1.6437011718750003</v>
      </c>
      <c r="N330" s="17">
        <f t="shared" si="71"/>
        <v>92160</v>
      </c>
      <c r="O330" s="32">
        <f t="shared" si="72"/>
        <v>5.341003417968749</v>
      </c>
      <c r="AG330" t="s">
        <v>86</v>
      </c>
      <c r="AH330" t="s">
        <v>583</v>
      </c>
      <c r="AI330">
        <v>5</v>
      </c>
      <c r="AJ330">
        <v>32</v>
      </c>
      <c r="AK330">
        <v>9</v>
      </c>
      <c r="AL330">
        <v>3</v>
      </c>
      <c r="AM330">
        <v>441</v>
      </c>
      <c r="AN330">
        <v>558</v>
      </c>
      <c r="AO330">
        <v>396</v>
      </c>
      <c r="AP330" s="44">
        <v>0.6536458333333333</v>
      </c>
      <c r="AQ330" s="27">
        <f t="shared" si="77"/>
        <v>1241.625</v>
      </c>
    </row>
    <row r="331" spans="1:43" ht="12.75">
      <c r="A331" s="1" t="s">
        <v>554</v>
      </c>
      <c r="B331" s="18" t="s">
        <v>2041</v>
      </c>
      <c r="C331" t="s">
        <v>378</v>
      </c>
      <c r="D331" s="19">
        <v>1</v>
      </c>
      <c r="E331" s="7" t="str">
        <f>IF(AH331="S","Always one row per interval","")</f>
        <v>Always one row per interval</v>
      </c>
      <c r="F331" s="19"/>
      <c r="G331" s="4">
        <f>IF(F331&gt;0,F331,IF(PrefetchDBSummary!$C$10="B",AJ331,8))</f>
        <v>8</v>
      </c>
      <c r="H331" s="4">
        <f>PrefetchDBSummary!$C$74</f>
        <v>10</v>
      </c>
      <c r="I331" s="4">
        <f>PrefetchDBSummary!$D$74</f>
        <v>0</v>
      </c>
      <c r="J331" s="5">
        <f t="shared" si="73"/>
        <v>10.883333333333333</v>
      </c>
      <c r="K331" s="4">
        <f t="shared" si="74"/>
        <v>1</v>
      </c>
      <c r="L331" s="4">
        <f t="shared" si="75"/>
        <v>10</v>
      </c>
      <c r="M331" s="5">
        <f t="shared" si="76"/>
        <v>1.12060546875</v>
      </c>
      <c r="N331" s="17">
        <f t="shared" si="71"/>
        <v>115200</v>
      </c>
      <c r="O331" s="32">
        <f t="shared" si="72"/>
        <v>2.3950195312499996</v>
      </c>
      <c r="AG331" t="s">
        <v>379</v>
      </c>
      <c r="AH331" t="s">
        <v>582</v>
      </c>
      <c r="AI331">
        <v>1</v>
      </c>
      <c r="AJ331">
        <v>32</v>
      </c>
      <c r="AK331">
        <v>13</v>
      </c>
      <c r="AL331">
        <v>9</v>
      </c>
      <c r="AM331">
        <v>153</v>
      </c>
      <c r="AN331">
        <v>516</v>
      </c>
      <c r="AO331">
        <v>64</v>
      </c>
      <c r="AP331" s="44">
        <v>0.3125</v>
      </c>
      <c r="AQ331" s="27">
        <f t="shared" si="77"/>
        <v>653</v>
      </c>
    </row>
    <row r="332" spans="1:43" ht="12.75">
      <c r="A332" s="1" t="s">
        <v>554</v>
      </c>
      <c r="B332" s="18" t="s">
        <v>2041</v>
      </c>
      <c r="C332" t="s">
        <v>870</v>
      </c>
      <c r="D332" s="19">
        <v>3</v>
      </c>
      <c r="E332" s="7">
        <f>IF(AH332="S","Always one row per interval","")</f>
      </c>
      <c r="F332" s="19"/>
      <c r="G332" s="4">
        <f>IF(F332&gt;0,F332,IF(PrefetchDBSummary!$C$10="B",AJ332,8))</f>
        <v>8</v>
      </c>
      <c r="H332" s="4">
        <f>PrefetchDBSummary!$C$74</f>
        <v>10</v>
      </c>
      <c r="I332" s="4">
        <f>PrefetchDBSummary!$D$74</f>
        <v>0</v>
      </c>
      <c r="J332" s="5">
        <f t="shared" si="73"/>
        <v>5.111666666666666</v>
      </c>
      <c r="K332" s="4">
        <f t="shared" si="74"/>
        <v>0.6</v>
      </c>
      <c r="L332" s="4">
        <f t="shared" si="75"/>
        <v>6</v>
      </c>
      <c r="M332" s="5">
        <f t="shared" si="76"/>
        <v>2.21044921875</v>
      </c>
      <c r="N332" s="17">
        <f t="shared" si="71"/>
        <v>69120</v>
      </c>
      <c r="O332" s="32">
        <f t="shared" si="72"/>
        <v>2.4982910156249996</v>
      </c>
      <c r="AG332" t="s">
        <v>869</v>
      </c>
      <c r="AH332" t="s">
        <v>583</v>
      </c>
      <c r="AI332">
        <v>5</v>
      </c>
      <c r="AJ332">
        <v>32</v>
      </c>
      <c r="AK332">
        <v>7</v>
      </c>
      <c r="AL332">
        <v>3</v>
      </c>
      <c r="AM332">
        <v>503</v>
      </c>
      <c r="AN332">
        <v>628</v>
      </c>
      <c r="AO332">
        <v>456</v>
      </c>
      <c r="AP332" s="44">
        <v>0.3125</v>
      </c>
      <c r="AQ332" s="27">
        <f t="shared" si="77"/>
        <v>1533.5</v>
      </c>
    </row>
    <row r="333" spans="1:43" ht="12.75">
      <c r="A333" s="1" t="s">
        <v>554</v>
      </c>
      <c r="B333" s="18" t="s">
        <v>2041</v>
      </c>
      <c r="C333" t="s">
        <v>380</v>
      </c>
      <c r="D333" s="19">
        <v>5</v>
      </c>
      <c r="E333" s="7" t="s">
        <v>760</v>
      </c>
      <c r="F333" s="19"/>
      <c r="G333" s="4">
        <f>IF(F333&gt;0,F333,IF(PrefetchDBSummary!$C$10="B",AJ333,8))</f>
        <v>8</v>
      </c>
      <c r="H333" s="4">
        <f>PrefetchDBSummary!$C$74</f>
        <v>10</v>
      </c>
      <c r="I333" s="4">
        <f>PrefetchDBSummary!$D$74</f>
        <v>0</v>
      </c>
      <c r="J333" s="5">
        <f t="shared" si="73"/>
        <v>35.91796875</v>
      </c>
      <c r="K333" s="4">
        <f t="shared" si="74"/>
        <v>5</v>
      </c>
      <c r="L333" s="4">
        <f t="shared" si="75"/>
        <v>50</v>
      </c>
      <c r="M333" s="5">
        <f t="shared" si="76"/>
        <v>13.9251708984375</v>
      </c>
      <c r="N333" s="17">
        <f t="shared" si="71"/>
        <v>576000</v>
      </c>
      <c r="O333" s="32">
        <f t="shared" si="72"/>
        <v>71.40941619873045</v>
      </c>
      <c r="AG333" t="s">
        <v>381</v>
      </c>
      <c r="AH333" t="s">
        <v>583</v>
      </c>
      <c r="AI333">
        <v>1</v>
      </c>
      <c r="AJ333">
        <v>32</v>
      </c>
      <c r="AK333">
        <v>20</v>
      </c>
      <c r="AL333">
        <v>12</v>
      </c>
      <c r="AM333">
        <v>780</v>
      </c>
      <c r="AN333">
        <v>1216</v>
      </c>
      <c r="AO333">
        <v>628</v>
      </c>
      <c r="AP333" s="44">
        <v>0.79296875</v>
      </c>
      <c r="AQ333" s="27">
        <f t="shared" si="77"/>
        <v>2155.078125</v>
      </c>
    </row>
    <row r="334" spans="1:43" ht="12.75">
      <c r="A334" s="1" t="s">
        <v>554</v>
      </c>
      <c r="B334" s="18" t="s">
        <v>2041</v>
      </c>
      <c r="C334" t="s">
        <v>667</v>
      </c>
      <c r="D334" s="19">
        <v>1</v>
      </c>
      <c r="E334" s="7" t="str">
        <f>IF(AH334="S","Always one row per interval","")</f>
        <v>Always one row per interval</v>
      </c>
      <c r="F334" s="19"/>
      <c r="G334" s="4">
        <f>IF(F334&gt;0,F334,IF(PrefetchDBSummary!$C$10="B",AJ334,8))</f>
        <v>8</v>
      </c>
      <c r="H334" s="4">
        <f>PrefetchDBSummary!$C$74</f>
        <v>10</v>
      </c>
      <c r="I334" s="4">
        <f>PrefetchDBSummary!$D$74</f>
        <v>0</v>
      </c>
      <c r="J334" s="5">
        <f t="shared" si="73"/>
        <v>7.71</v>
      </c>
      <c r="K334" s="4">
        <f t="shared" si="74"/>
        <v>1</v>
      </c>
      <c r="L334" s="4">
        <f t="shared" si="75"/>
        <v>10</v>
      </c>
      <c r="M334" s="5">
        <f t="shared" si="76"/>
        <v>0.482421875</v>
      </c>
      <c r="N334" s="17">
        <f t="shared" si="71"/>
        <v>115200</v>
      </c>
      <c r="O334" s="32">
        <f t="shared" si="72"/>
        <v>1.5249023437499998</v>
      </c>
      <c r="AG334" t="s">
        <v>668</v>
      </c>
      <c r="AH334" t="s">
        <v>582</v>
      </c>
      <c r="AI334">
        <v>1</v>
      </c>
      <c r="AJ334">
        <v>32</v>
      </c>
      <c r="AK334">
        <v>7</v>
      </c>
      <c r="AL334">
        <v>6</v>
      </c>
      <c r="AM334">
        <v>95</v>
      </c>
      <c r="AN334">
        <v>329</v>
      </c>
      <c r="AO334">
        <v>64</v>
      </c>
      <c r="AP334" s="44"/>
      <c r="AQ334" s="27">
        <f t="shared" si="77"/>
        <v>462.6</v>
      </c>
    </row>
    <row r="335" spans="1:43" ht="12.75">
      <c r="A335" s="1" t="s">
        <v>554</v>
      </c>
      <c r="B335" s="18" t="s">
        <v>2041</v>
      </c>
      <c r="C335" t="s">
        <v>665</v>
      </c>
      <c r="D335" s="19">
        <v>2</v>
      </c>
      <c r="E335" s="7" t="s">
        <v>766</v>
      </c>
      <c r="F335" s="19"/>
      <c r="G335" s="4">
        <f>IF(F335&gt;0,F335,IF(PrefetchDBSummary!$C$10="B",AJ335,8))</f>
        <v>8</v>
      </c>
      <c r="H335" s="4">
        <f>PrefetchDBSummary!$C$74</f>
        <v>10</v>
      </c>
      <c r="I335" s="4">
        <f>PrefetchDBSummary!$D$74</f>
        <v>0</v>
      </c>
      <c r="J335" s="5">
        <f t="shared" si="73"/>
        <v>2.8566666666666665</v>
      </c>
      <c r="K335" s="4">
        <f t="shared" si="74"/>
        <v>0.4</v>
      </c>
      <c r="L335" s="4">
        <f t="shared" si="75"/>
        <v>4</v>
      </c>
      <c r="M335" s="5">
        <f t="shared" si="76"/>
        <v>1.1070312500000001</v>
      </c>
      <c r="N335" s="17">
        <f t="shared" si="71"/>
        <v>46080</v>
      </c>
      <c r="O335" s="32">
        <f t="shared" si="72"/>
        <v>2.9619140624999996</v>
      </c>
      <c r="AG335" t="s">
        <v>666</v>
      </c>
      <c r="AH335" t="s">
        <v>583</v>
      </c>
      <c r="AI335">
        <v>5</v>
      </c>
      <c r="AJ335">
        <v>32</v>
      </c>
      <c r="AK335">
        <v>5</v>
      </c>
      <c r="AL335">
        <v>1</v>
      </c>
      <c r="AM335">
        <v>545</v>
      </c>
      <c r="AN335">
        <v>584</v>
      </c>
      <c r="AO335">
        <v>520</v>
      </c>
      <c r="AP335" s="44"/>
      <c r="AQ335" s="27">
        <f t="shared" si="77"/>
        <v>857</v>
      </c>
    </row>
    <row r="336" spans="1:43" ht="12.75">
      <c r="A336" s="1" t="s">
        <v>554</v>
      </c>
      <c r="B336" s="18" t="s">
        <v>2041</v>
      </c>
      <c r="C336" t="s">
        <v>89</v>
      </c>
      <c r="D336" s="19">
        <v>4</v>
      </c>
      <c r="E336" s="7" t="s">
        <v>769</v>
      </c>
      <c r="F336" s="19"/>
      <c r="G336" s="4">
        <f>IF(F336&gt;0,F336,IF(PrefetchDBSummary!$C$10="B",AJ336,8))</f>
        <v>8</v>
      </c>
      <c r="H336" s="4">
        <f>PrefetchDBSummary!$C$74</f>
        <v>10</v>
      </c>
      <c r="I336" s="4">
        <f>PrefetchDBSummary!$D$74</f>
        <v>0</v>
      </c>
      <c r="J336" s="5">
        <f t="shared" si="73"/>
        <v>18.916666666666668</v>
      </c>
      <c r="K336" s="4">
        <f t="shared" si="74"/>
        <v>4</v>
      </c>
      <c r="L336" s="4">
        <f t="shared" si="75"/>
        <v>40</v>
      </c>
      <c r="M336" s="5">
        <f t="shared" si="76"/>
        <v>4.4647216796875</v>
      </c>
      <c r="N336" s="17">
        <f t="shared" si="71"/>
        <v>460800</v>
      </c>
      <c r="O336" s="32">
        <f t="shared" si="72"/>
        <v>13.491210937499996</v>
      </c>
      <c r="AG336" t="s">
        <v>88</v>
      </c>
      <c r="AH336" t="s">
        <v>583</v>
      </c>
      <c r="AI336">
        <v>1</v>
      </c>
      <c r="AJ336">
        <v>14</v>
      </c>
      <c r="AK336">
        <v>13</v>
      </c>
      <c r="AL336">
        <v>9</v>
      </c>
      <c r="AM336">
        <v>209</v>
      </c>
      <c r="AN336">
        <v>572</v>
      </c>
      <c r="AO336">
        <v>128</v>
      </c>
      <c r="AP336" s="44">
        <v>0.56640625</v>
      </c>
      <c r="AQ336" s="27">
        <f t="shared" si="77"/>
        <v>1135</v>
      </c>
    </row>
    <row r="337" spans="1:43" ht="12.75">
      <c r="A337" s="1" t="s">
        <v>554</v>
      </c>
      <c r="B337" s="18" t="s">
        <v>2041</v>
      </c>
      <c r="C337" t="s">
        <v>170</v>
      </c>
      <c r="D337" s="19">
        <v>22</v>
      </c>
      <c r="E337" s="7" t="s">
        <v>871</v>
      </c>
      <c r="F337" s="19"/>
      <c r="G337" s="4">
        <f>IF(F337&gt;0,F337,IF(PrefetchDBSummary!$C$10="B",AJ337,8))</f>
        <v>8</v>
      </c>
      <c r="H337" s="4">
        <f>PrefetchDBSummary!$C$74</f>
        <v>10</v>
      </c>
      <c r="I337" s="4">
        <f>PrefetchDBSummary!$D$74</f>
        <v>0</v>
      </c>
      <c r="J337" s="5">
        <f t="shared" si="73"/>
        <v>137.03541666666666</v>
      </c>
      <c r="K337" s="4">
        <f t="shared" si="74"/>
        <v>22</v>
      </c>
      <c r="L337" s="4">
        <f t="shared" si="75"/>
        <v>220</v>
      </c>
      <c r="M337" s="5">
        <f t="shared" si="76"/>
        <v>87.53247070312501</v>
      </c>
      <c r="N337" s="17">
        <f t="shared" si="71"/>
        <v>2534400</v>
      </c>
      <c r="O337" s="32">
        <f t="shared" si="72"/>
        <v>252.52899169921864</v>
      </c>
      <c r="AG337" t="s">
        <v>171</v>
      </c>
      <c r="AH337" t="s">
        <v>583</v>
      </c>
      <c r="AI337">
        <v>1</v>
      </c>
      <c r="AJ337">
        <v>32</v>
      </c>
      <c r="AK337">
        <v>9</v>
      </c>
      <c r="AL337">
        <v>4</v>
      </c>
      <c r="AM337">
        <v>813</v>
      </c>
      <c r="AN337">
        <v>981</v>
      </c>
      <c r="AO337">
        <v>772</v>
      </c>
      <c r="AP337" s="44">
        <v>0.6235795454545454</v>
      </c>
      <c r="AQ337" s="27">
        <f t="shared" si="77"/>
        <v>8222.125</v>
      </c>
    </row>
    <row r="338" spans="1:43" ht="12.75">
      <c r="A338" s="1" t="s">
        <v>554</v>
      </c>
      <c r="B338" s="18" t="s">
        <v>2041</v>
      </c>
      <c r="C338" t="s">
        <v>91</v>
      </c>
      <c r="D338" s="19">
        <v>22</v>
      </c>
      <c r="E338" s="7" t="s">
        <v>767</v>
      </c>
      <c r="F338" s="19"/>
      <c r="G338" s="4">
        <f>IF(F338&gt;0,F338,IF(PrefetchDBSummary!$C$10="B",AJ338,8))</f>
        <v>8</v>
      </c>
      <c r="H338" s="4">
        <f>PrefetchDBSummary!$C$74</f>
        <v>10</v>
      </c>
      <c r="I338" s="4">
        <f>PrefetchDBSummary!$D$74</f>
        <v>0</v>
      </c>
      <c r="J338" s="5">
        <f t="shared" si="73"/>
        <v>50.08888888888888</v>
      </c>
      <c r="K338" s="4">
        <f t="shared" si="74"/>
        <v>22</v>
      </c>
      <c r="L338" s="4">
        <f t="shared" si="75"/>
        <v>220</v>
      </c>
      <c r="M338" s="5">
        <f t="shared" si="76"/>
        <v>19.246419270833332</v>
      </c>
      <c r="N338" s="17">
        <f t="shared" si="71"/>
        <v>2534400</v>
      </c>
      <c r="O338" s="32">
        <f t="shared" si="72"/>
        <v>58.330078124999986</v>
      </c>
      <c r="AG338" t="s">
        <v>90</v>
      </c>
      <c r="AH338" t="s">
        <v>583</v>
      </c>
      <c r="AI338">
        <v>1</v>
      </c>
      <c r="AJ338">
        <v>32</v>
      </c>
      <c r="AK338">
        <v>8</v>
      </c>
      <c r="AL338">
        <v>5</v>
      </c>
      <c r="AM338">
        <v>172</v>
      </c>
      <c r="AN338">
        <v>367</v>
      </c>
      <c r="AO338">
        <v>128</v>
      </c>
      <c r="AP338" s="44">
        <v>0.5989583333333334</v>
      </c>
      <c r="AQ338" s="27">
        <f t="shared" si="77"/>
        <v>3005.333333333333</v>
      </c>
    </row>
    <row r="339" spans="1:43" ht="12.75">
      <c r="A339" s="1" t="s">
        <v>554</v>
      </c>
      <c r="B339" s="18" t="s">
        <v>2041</v>
      </c>
      <c r="C339" t="s">
        <v>85</v>
      </c>
      <c r="D339" s="19">
        <v>1</v>
      </c>
      <c r="E339" s="7" t="str">
        <f>IF(AH339="S","Always one row per interval","")</f>
        <v>Always one row per interval</v>
      </c>
      <c r="F339" s="19"/>
      <c r="G339" s="4">
        <f>IF(F339&gt;0,F339,IF(PrefetchDBSummary!$C$10="B",AJ339,8))</f>
        <v>8</v>
      </c>
      <c r="H339" s="4">
        <f>PrefetchDBSummary!$C$74</f>
        <v>10</v>
      </c>
      <c r="I339" s="4">
        <f>PrefetchDBSummary!$D$74</f>
        <v>0</v>
      </c>
      <c r="J339" s="5">
        <f t="shared" si="73"/>
        <v>10.423958333333333</v>
      </c>
      <c r="K339" s="4">
        <f t="shared" si="74"/>
        <v>1</v>
      </c>
      <c r="L339" s="4">
        <f t="shared" si="75"/>
        <v>10</v>
      </c>
      <c r="M339" s="5">
        <f t="shared" si="76"/>
        <v>1.521240234375</v>
      </c>
      <c r="N339" s="17">
        <f t="shared" si="71"/>
        <v>115200</v>
      </c>
      <c r="O339" s="32">
        <f t="shared" si="72"/>
        <v>2.0558166503906246</v>
      </c>
      <c r="AG339" t="s">
        <v>84</v>
      </c>
      <c r="AH339" t="s">
        <v>582</v>
      </c>
      <c r="AI339">
        <v>1</v>
      </c>
      <c r="AJ339">
        <v>32</v>
      </c>
      <c r="AK339">
        <v>10</v>
      </c>
      <c r="AL339">
        <v>3</v>
      </c>
      <c r="AM339">
        <v>186</v>
      </c>
      <c r="AN339">
        <v>255</v>
      </c>
      <c r="AO339">
        <v>116</v>
      </c>
      <c r="AP339" s="44">
        <v>0.203125</v>
      </c>
      <c r="AQ339" s="27">
        <f t="shared" si="77"/>
        <v>625.4375</v>
      </c>
    </row>
    <row r="340" spans="1:43" ht="12.75">
      <c r="A340" s="7" t="s">
        <v>1481</v>
      </c>
      <c r="B340" s="18" t="s">
        <v>1490</v>
      </c>
      <c r="C340" t="s">
        <v>1482</v>
      </c>
      <c r="D340" s="19">
        <v>4</v>
      </c>
      <c r="E340" s="7" t="s">
        <v>1912</v>
      </c>
      <c r="F340" s="19"/>
      <c r="G340" s="4">
        <f>IF(F340&gt;0,F340,IF(PrefetchDBSummary!$C$10="B",AJ340,8))</f>
        <v>8</v>
      </c>
      <c r="H340" s="4">
        <f>PrefetchDBSummary!$C$41</f>
        <v>0</v>
      </c>
      <c r="I340" s="4">
        <f>PrefetchDBSummary!$D$41</f>
        <v>0</v>
      </c>
      <c r="J340" s="5">
        <f t="shared" si="73"/>
        <v>0</v>
      </c>
      <c r="K340" s="4">
        <f t="shared" si="74"/>
        <v>0</v>
      </c>
      <c r="L340" s="4">
        <f t="shared" si="75"/>
        <v>0</v>
      </c>
      <c r="M340" s="5">
        <f t="shared" si="76"/>
        <v>0</v>
      </c>
      <c r="N340" s="17">
        <f t="shared" si="71"/>
        <v>0</v>
      </c>
      <c r="O340" s="32">
        <f t="shared" si="72"/>
        <v>0</v>
      </c>
      <c r="AG340" t="s">
        <v>1486</v>
      </c>
      <c r="AH340" t="s">
        <v>583</v>
      </c>
      <c r="AI340">
        <v>1</v>
      </c>
      <c r="AJ340">
        <v>14</v>
      </c>
      <c r="AK340">
        <v>25</v>
      </c>
      <c r="AL340">
        <v>19</v>
      </c>
      <c r="AM340">
        <v>573</v>
      </c>
      <c r="AN340">
        <v>1530</v>
      </c>
      <c r="AO340">
        <v>224</v>
      </c>
      <c r="AP340" s="44">
        <v>0.203125</v>
      </c>
      <c r="AQ340" s="27">
        <f t="shared" si="77"/>
        <v>2927</v>
      </c>
    </row>
    <row r="341" spans="1:43" ht="12.75">
      <c r="A341" s="7" t="s">
        <v>1481</v>
      </c>
      <c r="B341" s="18" t="s">
        <v>1490</v>
      </c>
      <c r="C341" t="s">
        <v>1483</v>
      </c>
      <c r="D341" s="19">
        <v>4</v>
      </c>
      <c r="E341" s="7" t="s">
        <v>928</v>
      </c>
      <c r="F341" s="19"/>
      <c r="G341" s="4">
        <f>IF(F341&gt;0,F341,IF(PrefetchDBSummary!$C$10="B",AJ341,8))</f>
        <v>8</v>
      </c>
      <c r="H341" s="4">
        <f>PrefetchDBSummary!$C$41</f>
        <v>0</v>
      </c>
      <c r="I341" s="4">
        <f>PrefetchDBSummary!$D$41</f>
        <v>0</v>
      </c>
      <c r="J341" s="5">
        <f t="shared" si="73"/>
        <v>0</v>
      </c>
      <c r="K341" s="4">
        <f t="shared" si="74"/>
        <v>0</v>
      </c>
      <c r="L341" s="4">
        <f t="shared" si="75"/>
        <v>0</v>
      </c>
      <c r="M341" s="5">
        <f t="shared" si="76"/>
        <v>0</v>
      </c>
      <c r="N341" s="17">
        <f t="shared" si="71"/>
        <v>0</v>
      </c>
      <c r="O341" s="32">
        <f t="shared" si="72"/>
        <v>0</v>
      </c>
      <c r="AG341" t="s">
        <v>1487</v>
      </c>
      <c r="AH341" t="s">
        <v>583</v>
      </c>
      <c r="AI341">
        <v>5</v>
      </c>
      <c r="AJ341">
        <v>14</v>
      </c>
      <c r="AK341">
        <v>25</v>
      </c>
      <c r="AL341">
        <v>13</v>
      </c>
      <c r="AM341">
        <v>761</v>
      </c>
      <c r="AN341">
        <v>1424</v>
      </c>
      <c r="AO341">
        <v>480</v>
      </c>
      <c r="AP341" s="44">
        <v>0.203125</v>
      </c>
      <c r="AQ341" s="27">
        <f t="shared" si="77"/>
        <v>3471</v>
      </c>
    </row>
    <row r="342" spans="1:43" ht="12.75">
      <c r="A342" s="7" t="s">
        <v>1481</v>
      </c>
      <c r="B342" s="18" t="s">
        <v>1490</v>
      </c>
      <c r="C342" t="s">
        <v>1816</v>
      </c>
      <c r="D342" s="19">
        <v>1</v>
      </c>
      <c r="E342" s="7" t="s">
        <v>710</v>
      </c>
      <c r="F342" s="19"/>
      <c r="G342" s="4">
        <f>IF(F342&gt;0,F342,IF(PrefetchDBSummary!$C$10="B",AJ342,8))</f>
        <v>8</v>
      </c>
      <c r="H342" s="4">
        <f>PrefetchDBSummary!$C$41</f>
        <v>0</v>
      </c>
      <c r="I342" s="4">
        <f>PrefetchDBSummary!$D$41</f>
        <v>0</v>
      </c>
      <c r="J342" s="5">
        <f t="shared" si="73"/>
        <v>0</v>
      </c>
      <c r="K342" s="4">
        <f t="shared" si="74"/>
        <v>0</v>
      </c>
      <c r="L342" s="4">
        <f t="shared" si="75"/>
        <v>0</v>
      </c>
      <c r="M342" s="5">
        <f t="shared" si="76"/>
        <v>0</v>
      </c>
      <c r="N342" s="17">
        <f t="shared" si="71"/>
        <v>0</v>
      </c>
      <c r="O342" s="32">
        <f t="shared" si="72"/>
        <v>0</v>
      </c>
      <c r="AG342" t="s">
        <v>1760</v>
      </c>
      <c r="AH342" t="s">
        <v>583</v>
      </c>
      <c r="AI342">
        <v>8</v>
      </c>
      <c r="AJ342">
        <v>8</v>
      </c>
      <c r="AK342">
        <v>8</v>
      </c>
      <c r="AL342">
        <v>0</v>
      </c>
      <c r="AM342">
        <v>392</v>
      </c>
      <c r="AN342">
        <v>392</v>
      </c>
      <c r="AO342">
        <v>352</v>
      </c>
      <c r="AP342" s="44">
        <v>0.203125</v>
      </c>
      <c r="AQ342" s="27">
        <f t="shared" si="77"/>
        <v>745.5</v>
      </c>
    </row>
    <row r="343" spans="1:43" ht="12.75">
      <c r="A343" s="7" t="s">
        <v>1481</v>
      </c>
      <c r="B343" s="18" t="s">
        <v>1490</v>
      </c>
      <c r="C343" t="s">
        <v>1484</v>
      </c>
      <c r="D343" s="19">
        <v>50</v>
      </c>
      <c r="E343" s="7" t="s">
        <v>1913</v>
      </c>
      <c r="F343" s="19"/>
      <c r="G343" s="4">
        <f>IF(F343&gt;0,F343,IF(PrefetchDBSummary!$C$10="B",AJ343,8))</f>
        <v>8</v>
      </c>
      <c r="H343" s="4">
        <f>PrefetchDBSummary!$C$41</f>
        <v>0</v>
      </c>
      <c r="I343" s="4">
        <f>PrefetchDBSummary!$D$41</f>
        <v>0</v>
      </c>
      <c r="J343" s="5">
        <f t="shared" si="73"/>
        <v>0</v>
      </c>
      <c r="K343" s="4">
        <f t="shared" si="74"/>
        <v>0</v>
      </c>
      <c r="L343" s="4">
        <f t="shared" si="75"/>
        <v>0</v>
      </c>
      <c r="M343" s="5">
        <f t="shared" si="76"/>
        <v>0</v>
      </c>
      <c r="N343" s="17">
        <f t="shared" si="71"/>
        <v>0</v>
      </c>
      <c r="O343" s="32">
        <f t="shared" si="72"/>
        <v>0</v>
      </c>
      <c r="AG343" t="s">
        <v>1488</v>
      </c>
      <c r="AH343" t="s">
        <v>583</v>
      </c>
      <c r="AI343">
        <v>1</v>
      </c>
      <c r="AJ343">
        <v>8</v>
      </c>
      <c r="AK343">
        <v>26</v>
      </c>
      <c r="AL343">
        <v>18</v>
      </c>
      <c r="AM343">
        <v>734</v>
      </c>
      <c r="AN343">
        <v>1640</v>
      </c>
      <c r="AO343">
        <v>416</v>
      </c>
      <c r="AP343" s="44">
        <v>0.203125</v>
      </c>
      <c r="AQ343" s="27">
        <f t="shared" si="77"/>
        <v>34369</v>
      </c>
    </row>
    <row r="344" spans="1:43" ht="12.75">
      <c r="A344" s="7" t="s">
        <v>1481</v>
      </c>
      <c r="B344" s="18" t="s">
        <v>1490</v>
      </c>
      <c r="C344" t="s">
        <v>1585</v>
      </c>
      <c r="D344" s="19">
        <v>30</v>
      </c>
      <c r="E344" s="7" t="s">
        <v>1916</v>
      </c>
      <c r="F344" s="19"/>
      <c r="G344" s="4">
        <f>IF(F344&gt;0,F344,IF(PrefetchDBSummary!$C$10="B",AJ344,8))</f>
        <v>8</v>
      </c>
      <c r="H344" s="4">
        <f>PrefetchDBSummary!$C$41</f>
        <v>0</v>
      </c>
      <c r="I344" s="4">
        <f>PrefetchDBSummary!$D$41</f>
        <v>0</v>
      </c>
      <c r="J344" s="5">
        <f t="shared" si="73"/>
        <v>0</v>
      </c>
      <c r="K344" s="4">
        <f t="shared" si="74"/>
        <v>0</v>
      </c>
      <c r="L344" s="4">
        <f t="shared" si="75"/>
        <v>0</v>
      </c>
      <c r="M344" s="5">
        <f t="shared" si="76"/>
        <v>0</v>
      </c>
      <c r="N344" s="17">
        <f t="shared" si="71"/>
        <v>0</v>
      </c>
      <c r="O344" s="32">
        <f t="shared" si="72"/>
        <v>0</v>
      </c>
      <c r="AG344" t="s">
        <v>1586</v>
      </c>
      <c r="AH344" t="s">
        <v>583</v>
      </c>
      <c r="AI344">
        <v>1</v>
      </c>
      <c r="AJ344">
        <v>8</v>
      </c>
      <c r="AK344">
        <v>12</v>
      </c>
      <c r="AL344">
        <v>0</v>
      </c>
      <c r="AM344">
        <v>964</v>
      </c>
      <c r="AN344">
        <v>964</v>
      </c>
      <c r="AO344">
        <v>932</v>
      </c>
      <c r="AP344" s="44">
        <v>0.203125</v>
      </c>
      <c r="AQ344" s="27">
        <f t="shared" si="77"/>
        <v>24408.625</v>
      </c>
    </row>
    <row r="345" spans="1:43" ht="12.75">
      <c r="A345" s="7" t="s">
        <v>1481</v>
      </c>
      <c r="B345" s="18" t="s">
        <v>1490</v>
      </c>
      <c r="C345" t="s">
        <v>1817</v>
      </c>
      <c r="D345" s="19">
        <v>10</v>
      </c>
      <c r="E345" s="7" t="s">
        <v>1914</v>
      </c>
      <c r="F345" s="19"/>
      <c r="G345" s="4">
        <f>IF(F345&gt;0,F345,IF(PrefetchDBSummary!$C$10="B",AJ345,8))</f>
        <v>8</v>
      </c>
      <c r="H345" s="4">
        <f>PrefetchDBSummary!$C$41</f>
        <v>0</v>
      </c>
      <c r="I345" s="4">
        <f>PrefetchDBSummary!$D$41</f>
        <v>0</v>
      </c>
      <c r="J345" s="5">
        <f t="shared" si="73"/>
        <v>0</v>
      </c>
      <c r="K345" s="4">
        <f t="shared" si="74"/>
        <v>0</v>
      </c>
      <c r="L345" s="4">
        <f t="shared" si="75"/>
        <v>0</v>
      </c>
      <c r="M345" s="5">
        <f t="shared" si="76"/>
        <v>0</v>
      </c>
      <c r="N345" s="17">
        <f t="shared" si="71"/>
        <v>0</v>
      </c>
      <c r="O345" s="32">
        <f t="shared" si="72"/>
        <v>0</v>
      </c>
      <c r="AG345" t="s">
        <v>1761</v>
      </c>
      <c r="AH345" t="s">
        <v>583</v>
      </c>
      <c r="AI345">
        <v>8</v>
      </c>
      <c r="AJ345">
        <v>8</v>
      </c>
      <c r="AK345">
        <v>15</v>
      </c>
      <c r="AL345">
        <v>9</v>
      </c>
      <c r="AM345">
        <v>403</v>
      </c>
      <c r="AN345">
        <v>850</v>
      </c>
      <c r="AO345">
        <v>224</v>
      </c>
      <c r="AP345" s="44">
        <v>0.203125</v>
      </c>
      <c r="AQ345" s="27">
        <f t="shared" si="77"/>
        <v>4340</v>
      </c>
    </row>
    <row r="346" spans="1:43" ht="12.75">
      <c r="A346" s="7" t="s">
        <v>1481</v>
      </c>
      <c r="B346" s="18" t="s">
        <v>1490</v>
      </c>
      <c r="C346" t="s">
        <v>1485</v>
      </c>
      <c r="D346" s="19">
        <v>10</v>
      </c>
      <c r="E346" s="7" t="s">
        <v>1273</v>
      </c>
      <c r="F346" s="19"/>
      <c r="G346" s="4">
        <f>IF(F346&gt;0,F346,IF(PrefetchDBSummary!$C$10="B",AJ346,8))</f>
        <v>8</v>
      </c>
      <c r="H346" s="4">
        <f>PrefetchDBSummary!$C$41</f>
        <v>0</v>
      </c>
      <c r="I346" s="4">
        <f>PrefetchDBSummary!$D$41</f>
        <v>0</v>
      </c>
      <c r="J346" s="5">
        <f t="shared" si="73"/>
        <v>0</v>
      </c>
      <c r="K346" s="4">
        <f t="shared" si="74"/>
        <v>0</v>
      </c>
      <c r="L346" s="4">
        <f t="shared" si="75"/>
        <v>0</v>
      </c>
      <c r="M346" s="5">
        <f t="shared" si="76"/>
        <v>0</v>
      </c>
      <c r="N346" s="17">
        <f t="shared" si="71"/>
        <v>0</v>
      </c>
      <c r="O346" s="32">
        <f t="shared" si="72"/>
        <v>0</v>
      </c>
      <c r="AG346" t="s">
        <v>1489</v>
      </c>
      <c r="AH346" t="s">
        <v>583</v>
      </c>
      <c r="AI346">
        <v>1</v>
      </c>
      <c r="AJ346">
        <v>14</v>
      </c>
      <c r="AK346">
        <v>23</v>
      </c>
      <c r="AL346">
        <v>16</v>
      </c>
      <c r="AM346">
        <v>551</v>
      </c>
      <c r="AN346">
        <v>1367</v>
      </c>
      <c r="AO346">
        <v>224</v>
      </c>
      <c r="AP346" s="44">
        <v>0.203125</v>
      </c>
      <c r="AQ346" s="27">
        <f t="shared" si="77"/>
        <v>5972</v>
      </c>
    </row>
    <row r="347" spans="1:43" ht="12.75">
      <c r="A347" s="7" t="s">
        <v>1481</v>
      </c>
      <c r="B347" s="18" t="s">
        <v>1490</v>
      </c>
      <c r="C347" t="s">
        <v>1818</v>
      </c>
      <c r="D347" s="19">
        <v>4</v>
      </c>
      <c r="E347" s="7" t="s">
        <v>1915</v>
      </c>
      <c r="F347" s="19"/>
      <c r="G347" s="4">
        <f>IF(F347&gt;0,F347,IF(PrefetchDBSummary!$C$10="B",AJ347,8))</f>
        <v>8</v>
      </c>
      <c r="H347" s="4">
        <f>PrefetchDBSummary!$C$41</f>
        <v>0</v>
      </c>
      <c r="I347" s="4">
        <f>PrefetchDBSummary!$D$41</f>
        <v>0</v>
      </c>
      <c r="J347" s="5">
        <f t="shared" si="73"/>
        <v>0</v>
      </c>
      <c r="K347" s="4">
        <f t="shared" si="74"/>
        <v>0</v>
      </c>
      <c r="L347" s="4">
        <f t="shared" si="75"/>
        <v>0</v>
      </c>
      <c r="M347" s="5">
        <f t="shared" si="76"/>
        <v>0</v>
      </c>
      <c r="N347" s="17">
        <f t="shared" si="71"/>
        <v>0</v>
      </c>
      <c r="O347" s="32">
        <f t="shared" si="72"/>
        <v>0</v>
      </c>
      <c r="AG347" t="s">
        <v>1762</v>
      </c>
      <c r="AH347" t="s">
        <v>583</v>
      </c>
      <c r="AI347">
        <v>4</v>
      </c>
      <c r="AJ347">
        <v>8</v>
      </c>
      <c r="AK347">
        <v>17</v>
      </c>
      <c r="AL347">
        <v>9</v>
      </c>
      <c r="AM347">
        <v>433</v>
      </c>
      <c r="AN347">
        <v>832</v>
      </c>
      <c r="AO347">
        <v>288</v>
      </c>
      <c r="AP347" s="44">
        <v>0.203125</v>
      </c>
      <c r="AQ347" s="27">
        <f t="shared" si="77"/>
        <v>2163</v>
      </c>
    </row>
    <row r="348" spans="1:43" ht="12.75">
      <c r="A348" s="18" t="s">
        <v>555</v>
      </c>
      <c r="B348" s="18" t="s">
        <v>2026</v>
      </c>
      <c r="C348" t="s">
        <v>480</v>
      </c>
      <c r="D348" s="19">
        <v>6</v>
      </c>
      <c r="E348" s="7" t="s">
        <v>771</v>
      </c>
      <c r="F348" s="19"/>
      <c r="G348" s="4">
        <f>IF(F348&gt;0,F348,IF(PrefetchDBSummary!$C$10="B",AJ348,8))</f>
        <v>8</v>
      </c>
      <c r="H348" s="4">
        <f>PrefetchDBSummary!$C$38</f>
        <v>0</v>
      </c>
      <c r="I348" s="4">
        <f>PrefetchDBSummary!$D$38</f>
        <v>0</v>
      </c>
      <c r="J348" s="5">
        <f t="shared" si="73"/>
        <v>0</v>
      </c>
      <c r="K348" s="4">
        <f t="shared" si="74"/>
        <v>0</v>
      </c>
      <c r="L348" s="4">
        <f t="shared" si="75"/>
        <v>0</v>
      </c>
      <c r="M348" s="5">
        <f t="shared" si="76"/>
        <v>0</v>
      </c>
      <c r="N348" s="17">
        <f t="shared" si="71"/>
        <v>0</v>
      </c>
      <c r="O348" s="32">
        <f t="shared" si="72"/>
        <v>0</v>
      </c>
      <c r="AG348" t="s">
        <v>481</v>
      </c>
      <c r="AH348" t="s">
        <v>583</v>
      </c>
      <c r="AI348">
        <v>5</v>
      </c>
      <c r="AJ348">
        <v>8</v>
      </c>
      <c r="AK348">
        <v>13</v>
      </c>
      <c r="AL348">
        <v>0</v>
      </c>
      <c r="AM348">
        <v>1257</v>
      </c>
      <c r="AN348">
        <v>1257</v>
      </c>
      <c r="AO348">
        <v>1216</v>
      </c>
      <c r="AQ348" s="27">
        <f t="shared" si="77"/>
        <v>3799.4000000000005</v>
      </c>
    </row>
    <row r="349" spans="1:43" ht="12.75">
      <c r="A349" s="18" t="s">
        <v>555</v>
      </c>
      <c r="B349" s="18" t="s">
        <v>2026</v>
      </c>
      <c r="C349" t="s">
        <v>476</v>
      </c>
      <c r="D349" s="19">
        <v>1</v>
      </c>
      <c r="E349" s="7" t="str">
        <f>IF(AH349="S","Always one row per interval","")</f>
        <v>Always one row per interval</v>
      </c>
      <c r="F349" s="19"/>
      <c r="G349" s="4">
        <f>IF(F349&gt;0,F349,IF(PrefetchDBSummary!$C$10="B",AJ349,8))</f>
        <v>8</v>
      </c>
      <c r="H349" s="4">
        <f>PrefetchDBSummary!$C$38</f>
        <v>0</v>
      </c>
      <c r="I349" s="4">
        <f>PrefetchDBSummary!$D$38</f>
        <v>0</v>
      </c>
      <c r="J349" s="5">
        <f t="shared" si="73"/>
        <v>0</v>
      </c>
      <c r="K349" s="4">
        <f t="shared" si="74"/>
        <v>0</v>
      </c>
      <c r="L349" s="4">
        <f t="shared" si="75"/>
        <v>0</v>
      </c>
      <c r="M349" s="5">
        <f t="shared" si="76"/>
        <v>0</v>
      </c>
      <c r="N349" s="17">
        <f t="shared" si="71"/>
        <v>0</v>
      </c>
      <c r="O349" s="32">
        <f t="shared" si="72"/>
        <v>0</v>
      </c>
      <c r="AG349" t="s">
        <v>477</v>
      </c>
      <c r="AH349" t="s">
        <v>582</v>
      </c>
      <c r="AI349">
        <v>5</v>
      </c>
      <c r="AJ349">
        <v>8</v>
      </c>
      <c r="AK349">
        <v>2</v>
      </c>
      <c r="AL349">
        <v>1</v>
      </c>
      <c r="AM349">
        <v>70</v>
      </c>
      <c r="AN349">
        <v>109</v>
      </c>
      <c r="AO349">
        <v>64</v>
      </c>
      <c r="AQ349" s="27">
        <f t="shared" si="77"/>
        <v>342.6</v>
      </c>
    </row>
    <row r="350" spans="1:43" ht="12.75">
      <c r="A350" s="18" t="s">
        <v>555</v>
      </c>
      <c r="B350" s="18" t="s">
        <v>2026</v>
      </c>
      <c r="C350" t="s">
        <v>484</v>
      </c>
      <c r="D350" s="19">
        <v>1</v>
      </c>
      <c r="E350" s="7" t="s">
        <v>773</v>
      </c>
      <c r="F350" s="19"/>
      <c r="G350" s="4">
        <f>IF(F350&gt;0,F350,IF(PrefetchDBSummary!$C$10="B",AJ350,8))</f>
        <v>8</v>
      </c>
      <c r="H350" s="4">
        <f>PrefetchDBSummary!$C$38</f>
        <v>0</v>
      </c>
      <c r="I350" s="4">
        <f>PrefetchDBSummary!$D$38</f>
        <v>0</v>
      </c>
      <c r="J350" s="5">
        <f t="shared" si="73"/>
        <v>0</v>
      </c>
      <c r="K350" s="4">
        <f t="shared" si="74"/>
        <v>0</v>
      </c>
      <c r="L350" s="4">
        <f t="shared" si="75"/>
        <v>0</v>
      </c>
      <c r="M350" s="5">
        <f t="shared" si="76"/>
        <v>0</v>
      </c>
      <c r="N350" s="17">
        <f t="shared" si="71"/>
        <v>0</v>
      </c>
      <c r="O350" s="32">
        <f t="shared" si="72"/>
        <v>0</v>
      </c>
      <c r="AG350" t="s">
        <v>485</v>
      </c>
      <c r="AH350" t="s">
        <v>583</v>
      </c>
      <c r="AI350">
        <v>1</v>
      </c>
      <c r="AJ350">
        <v>8</v>
      </c>
      <c r="AK350">
        <v>5</v>
      </c>
      <c r="AL350">
        <v>0</v>
      </c>
      <c r="AM350">
        <v>713</v>
      </c>
      <c r="AN350">
        <v>713</v>
      </c>
      <c r="AO350">
        <v>704</v>
      </c>
      <c r="AQ350" s="27">
        <f t="shared" si="77"/>
        <v>658.6</v>
      </c>
    </row>
    <row r="351" spans="1:43" ht="12.75">
      <c r="A351" s="18" t="s">
        <v>555</v>
      </c>
      <c r="B351" s="18" t="s">
        <v>2026</v>
      </c>
      <c r="C351" t="s">
        <v>486</v>
      </c>
      <c r="D351" s="19">
        <v>1</v>
      </c>
      <c r="E351" s="7" t="str">
        <f>IF(AH351="S","Always one row per interval","")</f>
        <v>Always one row per interval</v>
      </c>
      <c r="F351" s="19"/>
      <c r="G351" s="4">
        <f>IF(F351&gt;0,F351,IF(PrefetchDBSummary!$C$10="B",AJ351,8))</f>
        <v>8</v>
      </c>
      <c r="H351" s="4">
        <f>PrefetchDBSummary!$C$38</f>
        <v>0</v>
      </c>
      <c r="I351" s="4">
        <f>PrefetchDBSummary!$D$38</f>
        <v>0</v>
      </c>
      <c r="J351" s="5">
        <f t="shared" si="73"/>
        <v>0</v>
      </c>
      <c r="K351" s="4">
        <f t="shared" si="74"/>
        <v>0</v>
      </c>
      <c r="L351" s="4">
        <f t="shared" si="75"/>
        <v>0</v>
      </c>
      <c r="M351" s="5">
        <f t="shared" si="76"/>
        <v>0</v>
      </c>
      <c r="N351" s="17">
        <f t="shared" si="71"/>
        <v>0</v>
      </c>
      <c r="O351" s="32">
        <f t="shared" si="72"/>
        <v>0</v>
      </c>
      <c r="AG351" t="s">
        <v>487</v>
      </c>
      <c r="AH351" t="s">
        <v>582</v>
      </c>
      <c r="AI351">
        <v>1</v>
      </c>
      <c r="AJ351">
        <v>8</v>
      </c>
      <c r="AK351">
        <v>3</v>
      </c>
      <c r="AL351">
        <v>2</v>
      </c>
      <c r="AM351">
        <v>75</v>
      </c>
      <c r="AN351">
        <v>153</v>
      </c>
      <c r="AO351">
        <v>64</v>
      </c>
      <c r="AQ351" s="27">
        <f t="shared" si="77"/>
        <v>366.6</v>
      </c>
    </row>
    <row r="352" spans="1:43" ht="12.75">
      <c r="A352" s="18" t="s">
        <v>555</v>
      </c>
      <c r="B352" s="18" t="s">
        <v>2026</v>
      </c>
      <c r="C352" t="s">
        <v>478</v>
      </c>
      <c r="D352" s="19">
        <v>1</v>
      </c>
      <c r="E352" s="7" t="s">
        <v>770</v>
      </c>
      <c r="F352" s="19"/>
      <c r="G352" s="4">
        <f>IF(F352&gt;0,F352,IF(PrefetchDBSummary!$C$10="B",AJ352,8))</f>
        <v>8</v>
      </c>
      <c r="H352" s="4">
        <f>PrefetchDBSummary!$C$38</f>
        <v>0</v>
      </c>
      <c r="I352" s="4">
        <f>PrefetchDBSummary!$D$38</f>
        <v>0</v>
      </c>
      <c r="J352" s="5">
        <f t="shared" si="73"/>
        <v>0</v>
      </c>
      <c r="K352" s="4">
        <f t="shared" si="74"/>
        <v>0</v>
      </c>
      <c r="L352" s="4">
        <f t="shared" si="75"/>
        <v>0</v>
      </c>
      <c r="M352" s="5">
        <f t="shared" si="76"/>
        <v>0</v>
      </c>
      <c r="N352" s="17">
        <f t="shared" si="71"/>
        <v>0</v>
      </c>
      <c r="O352" s="32">
        <f t="shared" si="72"/>
        <v>0</v>
      </c>
      <c r="AG352" t="s">
        <v>479</v>
      </c>
      <c r="AH352" t="s">
        <v>583</v>
      </c>
      <c r="AI352">
        <v>5</v>
      </c>
      <c r="AJ352">
        <v>8</v>
      </c>
      <c r="AK352">
        <v>11</v>
      </c>
      <c r="AL352">
        <v>1</v>
      </c>
      <c r="AM352">
        <v>391</v>
      </c>
      <c r="AN352">
        <v>430</v>
      </c>
      <c r="AO352">
        <v>352</v>
      </c>
      <c r="AQ352" s="27">
        <f t="shared" si="77"/>
        <v>661.8</v>
      </c>
    </row>
    <row r="353" spans="1:43" ht="12.75">
      <c r="A353" s="18" t="s">
        <v>555</v>
      </c>
      <c r="B353" s="18" t="s">
        <v>2026</v>
      </c>
      <c r="C353" t="s">
        <v>482</v>
      </c>
      <c r="D353" s="19">
        <v>1</v>
      </c>
      <c r="E353" s="7" t="str">
        <f>IF(AH353="S","Always one row per interval","")</f>
        <v>Always one row per interval</v>
      </c>
      <c r="F353" s="19"/>
      <c r="G353" s="4">
        <f>IF(F353&gt;0,F353,IF(PrefetchDBSummary!$C$10="B",AJ353,8))</f>
        <v>8</v>
      </c>
      <c r="H353" s="4">
        <f>PrefetchDBSummary!$C$38</f>
        <v>0</v>
      </c>
      <c r="I353" s="4">
        <f>PrefetchDBSummary!$D$38</f>
        <v>0</v>
      </c>
      <c r="J353" s="5">
        <f t="shared" si="73"/>
        <v>0</v>
      </c>
      <c r="K353" s="4">
        <f t="shared" si="74"/>
        <v>0</v>
      </c>
      <c r="L353" s="4">
        <f t="shared" si="75"/>
        <v>0</v>
      </c>
      <c r="M353" s="5">
        <f t="shared" si="76"/>
        <v>0</v>
      </c>
      <c r="N353" s="17">
        <f t="shared" si="71"/>
        <v>0</v>
      </c>
      <c r="O353" s="32">
        <f t="shared" si="72"/>
        <v>0</v>
      </c>
      <c r="AG353" t="s">
        <v>483</v>
      </c>
      <c r="AH353" t="s">
        <v>582</v>
      </c>
      <c r="AI353">
        <v>5</v>
      </c>
      <c r="AJ353">
        <v>8</v>
      </c>
      <c r="AK353">
        <v>2</v>
      </c>
      <c r="AL353">
        <v>1</v>
      </c>
      <c r="AM353">
        <v>70</v>
      </c>
      <c r="AN353">
        <v>109</v>
      </c>
      <c r="AO353">
        <v>64</v>
      </c>
      <c r="AQ353" s="27">
        <f t="shared" si="77"/>
        <v>342.6</v>
      </c>
    </row>
    <row r="354" spans="1:43" ht="12.75">
      <c r="A354" s="18" t="s">
        <v>555</v>
      </c>
      <c r="B354" s="18" t="s">
        <v>2026</v>
      </c>
      <c r="C354" t="s">
        <v>312</v>
      </c>
      <c r="D354" s="19">
        <v>16</v>
      </c>
      <c r="E354" s="7" t="s">
        <v>747</v>
      </c>
      <c r="F354" s="19"/>
      <c r="G354" s="4">
        <f>IF(F354&gt;0,F354,IF(PrefetchDBSummary!$C$10="B",AJ354,8))</f>
        <v>8</v>
      </c>
      <c r="H354" s="4">
        <f>PrefetchDBSummary!$C$38</f>
        <v>0</v>
      </c>
      <c r="I354" s="4">
        <f>PrefetchDBSummary!$D$38</f>
        <v>0</v>
      </c>
      <c r="J354" s="5">
        <f t="shared" si="73"/>
        <v>0</v>
      </c>
      <c r="K354" s="4">
        <f t="shared" si="74"/>
        <v>0</v>
      </c>
      <c r="L354" s="4">
        <f t="shared" si="75"/>
        <v>0</v>
      </c>
      <c r="M354" s="5">
        <f t="shared" si="76"/>
        <v>0</v>
      </c>
      <c r="N354" s="17">
        <f t="shared" si="71"/>
        <v>0</v>
      </c>
      <c r="O354" s="32">
        <f t="shared" si="72"/>
        <v>0</v>
      </c>
      <c r="AG354" t="s">
        <v>252</v>
      </c>
      <c r="AH354" t="s">
        <v>583</v>
      </c>
      <c r="AI354">
        <v>1</v>
      </c>
      <c r="AJ354">
        <v>14</v>
      </c>
      <c r="AK354">
        <v>39</v>
      </c>
      <c r="AL354">
        <v>19</v>
      </c>
      <c r="AM354">
        <v>2700</v>
      </c>
      <c r="AN354">
        <v>3549</v>
      </c>
      <c r="AO354">
        <v>2390</v>
      </c>
      <c r="AQ354" s="27">
        <f t="shared" si="77"/>
        <v>21615</v>
      </c>
    </row>
    <row r="355" spans="1:43" ht="12.75">
      <c r="A355" s="18" t="s">
        <v>555</v>
      </c>
      <c r="B355" s="18" t="s">
        <v>2026</v>
      </c>
      <c r="C355" t="s">
        <v>218</v>
      </c>
      <c r="D355" s="19">
        <v>1</v>
      </c>
      <c r="E355" s="7" t="str">
        <f>IF(AH355="S","Always one row per interval","")</f>
        <v>Always one row per interval</v>
      </c>
      <c r="F355" s="19"/>
      <c r="G355" s="4">
        <f>IF(F355&gt;0,F355,IF(PrefetchDBSummary!$C$10="B",AJ355,8))</f>
        <v>8</v>
      </c>
      <c r="H355" s="4">
        <f>PrefetchDBSummary!$C$38</f>
        <v>0</v>
      </c>
      <c r="I355" s="4">
        <f>PrefetchDBSummary!$D$38</f>
        <v>0</v>
      </c>
      <c r="J355" s="5">
        <f t="shared" si="73"/>
        <v>0</v>
      </c>
      <c r="K355" s="4">
        <f t="shared" si="74"/>
        <v>0</v>
      </c>
      <c r="L355" s="4">
        <f t="shared" si="75"/>
        <v>0</v>
      </c>
      <c r="M355" s="5">
        <f t="shared" si="76"/>
        <v>0</v>
      </c>
      <c r="N355" s="17">
        <f t="shared" si="71"/>
        <v>0</v>
      </c>
      <c r="O355" s="32">
        <f t="shared" si="72"/>
        <v>0</v>
      </c>
      <c r="AG355" t="s">
        <v>251</v>
      </c>
      <c r="AH355" t="s">
        <v>582</v>
      </c>
      <c r="AI355">
        <v>3</v>
      </c>
      <c r="AJ355">
        <v>14</v>
      </c>
      <c r="AK355">
        <v>10</v>
      </c>
      <c r="AL355">
        <v>8</v>
      </c>
      <c r="AM355">
        <v>122</v>
      </c>
      <c r="AN355">
        <v>434</v>
      </c>
      <c r="AO355">
        <v>64</v>
      </c>
      <c r="AQ355" s="27">
        <f t="shared" si="77"/>
        <v>546.6</v>
      </c>
    </row>
    <row r="356" spans="1:43" ht="12.75">
      <c r="A356" s="18" t="s">
        <v>555</v>
      </c>
      <c r="B356" s="18" t="s">
        <v>2026</v>
      </c>
      <c r="C356" t="s">
        <v>238</v>
      </c>
      <c r="D356" s="19">
        <v>35</v>
      </c>
      <c r="E356" s="7"/>
      <c r="F356" s="19"/>
      <c r="G356" s="4">
        <f>IF(F356&gt;0,F356,IF(PrefetchDBSummary!$C$10="B",AJ356,8))</f>
        <v>8</v>
      </c>
      <c r="H356" s="4">
        <f>PrefetchDBSummary!$C$38</f>
        <v>0</v>
      </c>
      <c r="I356" s="4">
        <f>PrefetchDBSummary!$D$38</f>
        <v>0</v>
      </c>
      <c r="J356" s="5">
        <f t="shared" si="73"/>
        <v>0</v>
      </c>
      <c r="K356" s="4">
        <f t="shared" si="74"/>
        <v>0</v>
      </c>
      <c r="L356" s="4">
        <f t="shared" si="75"/>
        <v>0</v>
      </c>
      <c r="M356" s="5">
        <f t="shared" si="76"/>
        <v>0</v>
      </c>
      <c r="N356" s="17">
        <f t="shared" si="71"/>
        <v>0</v>
      </c>
      <c r="O356" s="32">
        <f t="shared" si="72"/>
        <v>0</v>
      </c>
      <c r="AG356" t="s">
        <v>253</v>
      </c>
      <c r="AH356" t="s">
        <v>583</v>
      </c>
      <c r="AI356">
        <v>1</v>
      </c>
      <c r="AJ356">
        <v>14</v>
      </c>
      <c r="AK356">
        <v>14</v>
      </c>
      <c r="AL356">
        <v>4</v>
      </c>
      <c r="AM356">
        <v>1250</v>
      </c>
      <c r="AN356">
        <v>1442</v>
      </c>
      <c r="AO356">
        <v>1172</v>
      </c>
      <c r="AQ356" s="27">
        <f t="shared" si="77"/>
        <v>20459</v>
      </c>
    </row>
    <row r="357" spans="1:43" ht="12.75">
      <c r="A357" s="18" t="s">
        <v>555</v>
      </c>
      <c r="B357" s="18" t="s">
        <v>2026</v>
      </c>
      <c r="C357" t="s">
        <v>1403</v>
      </c>
      <c r="D357" s="19">
        <f>CEILING(PrefetchDBSummary!$E$38/30,3)</f>
        <v>36</v>
      </c>
      <c r="E357" s="7" t="s">
        <v>772</v>
      </c>
      <c r="F357" s="19"/>
      <c r="G357" s="4">
        <f>IF(F357&gt;0,F357,IF(PrefetchDBSummary!$C$10="B",AJ357,8))</f>
        <v>8</v>
      </c>
      <c r="H357" s="4">
        <f>PrefetchDBSummary!$C$38</f>
        <v>0</v>
      </c>
      <c r="I357" s="4">
        <f>PrefetchDBSummary!$D$38</f>
        <v>0</v>
      </c>
      <c r="J357" s="5">
        <f t="shared" si="73"/>
        <v>0</v>
      </c>
      <c r="K357" s="4">
        <f t="shared" si="74"/>
        <v>0</v>
      </c>
      <c r="L357" s="4">
        <f t="shared" si="75"/>
        <v>0</v>
      </c>
      <c r="M357" s="5">
        <f t="shared" si="76"/>
        <v>0</v>
      </c>
      <c r="N357" s="17">
        <f t="shared" si="71"/>
        <v>0</v>
      </c>
      <c r="O357" s="32">
        <f t="shared" si="72"/>
        <v>0</v>
      </c>
      <c r="AG357" t="s">
        <v>1404</v>
      </c>
      <c r="AH357" t="s">
        <v>583</v>
      </c>
      <c r="AI357">
        <v>1</v>
      </c>
      <c r="AJ357">
        <v>8</v>
      </c>
      <c r="AK357">
        <v>13</v>
      </c>
      <c r="AL357">
        <v>9</v>
      </c>
      <c r="AM357">
        <v>2645</v>
      </c>
      <c r="AN357">
        <v>3032</v>
      </c>
      <c r="AO357">
        <v>2560</v>
      </c>
      <c r="AQ357" s="27">
        <f t="shared" si="77"/>
        <v>41249</v>
      </c>
    </row>
    <row r="358" spans="1:43" ht="12.75">
      <c r="A358" s="18" t="s">
        <v>555</v>
      </c>
      <c r="B358" s="18" t="s">
        <v>2026</v>
      </c>
      <c r="C358" t="s">
        <v>346</v>
      </c>
      <c r="D358" s="19">
        <v>27</v>
      </c>
      <c r="E358" s="7" t="s">
        <v>774</v>
      </c>
      <c r="F358" s="19"/>
      <c r="G358" s="4">
        <f>IF(F358&gt;0,F358,IF(PrefetchDBSummary!$C$10="B",AJ358,8))</f>
        <v>8</v>
      </c>
      <c r="H358" s="4">
        <f>PrefetchDBSummary!$C$38</f>
        <v>0</v>
      </c>
      <c r="I358" s="4">
        <f>PrefetchDBSummary!$D$38</f>
        <v>0</v>
      </c>
      <c r="J358" s="5">
        <f t="shared" si="73"/>
        <v>0</v>
      </c>
      <c r="K358" s="4">
        <f t="shared" si="74"/>
        <v>0</v>
      </c>
      <c r="L358" s="4">
        <f t="shared" si="75"/>
        <v>0</v>
      </c>
      <c r="M358" s="5">
        <f t="shared" si="76"/>
        <v>0</v>
      </c>
      <c r="N358" s="17">
        <f t="shared" si="71"/>
        <v>0</v>
      </c>
      <c r="O358" s="32">
        <f t="shared" si="72"/>
        <v>0</v>
      </c>
      <c r="AG358" t="s">
        <v>350</v>
      </c>
      <c r="AH358" t="s">
        <v>583</v>
      </c>
      <c r="AI358">
        <v>1</v>
      </c>
      <c r="AJ358">
        <v>8</v>
      </c>
      <c r="AK358">
        <v>15</v>
      </c>
      <c r="AL358">
        <v>3</v>
      </c>
      <c r="AM358">
        <v>855</v>
      </c>
      <c r="AN358">
        <v>976</v>
      </c>
      <c r="AO358">
        <v>768</v>
      </c>
      <c r="AQ358" s="27">
        <f t="shared" si="77"/>
        <v>11799.400000000001</v>
      </c>
    </row>
    <row r="359" spans="1:43" ht="12.75">
      <c r="A359" s="18" t="s">
        <v>555</v>
      </c>
      <c r="B359" s="18" t="s">
        <v>2026</v>
      </c>
      <c r="C359" t="s">
        <v>347</v>
      </c>
      <c r="D359" s="19">
        <v>1</v>
      </c>
      <c r="E359" s="7" t="str">
        <f>IF(AH359="S","Always one row per interval","")</f>
        <v>Always one row per interval</v>
      </c>
      <c r="F359" s="19"/>
      <c r="G359" s="4">
        <f>IF(F359&gt;0,F359,IF(PrefetchDBSummary!$C$10="B",AJ359,8))</f>
        <v>8</v>
      </c>
      <c r="H359" s="4">
        <f>PrefetchDBSummary!$C$38</f>
        <v>0</v>
      </c>
      <c r="I359" s="4">
        <f>PrefetchDBSummary!$D$38</f>
        <v>0</v>
      </c>
      <c r="J359" s="5">
        <f t="shared" si="73"/>
        <v>0</v>
      </c>
      <c r="K359" s="4">
        <f t="shared" si="74"/>
        <v>0</v>
      </c>
      <c r="L359" s="4">
        <f t="shared" si="75"/>
        <v>0</v>
      </c>
      <c r="M359" s="5">
        <f t="shared" si="76"/>
        <v>0</v>
      </c>
      <c r="N359" s="17">
        <f t="shared" si="71"/>
        <v>0</v>
      </c>
      <c r="O359" s="32">
        <f t="shared" si="72"/>
        <v>0</v>
      </c>
      <c r="AG359" t="s">
        <v>351</v>
      </c>
      <c r="AH359" t="s">
        <v>582</v>
      </c>
      <c r="AI359">
        <v>1</v>
      </c>
      <c r="AJ359">
        <v>32</v>
      </c>
      <c r="AK359">
        <v>10</v>
      </c>
      <c r="AL359">
        <v>8</v>
      </c>
      <c r="AM359">
        <v>134</v>
      </c>
      <c r="AN359">
        <v>362</v>
      </c>
      <c r="AO359">
        <v>64</v>
      </c>
      <c r="AQ359" s="27">
        <f t="shared" si="77"/>
        <v>558.6</v>
      </c>
    </row>
    <row r="360" spans="1:43" ht="12.75">
      <c r="A360" s="18" t="s">
        <v>555</v>
      </c>
      <c r="B360" s="18" t="s">
        <v>2026</v>
      </c>
      <c r="C360" t="s">
        <v>240</v>
      </c>
      <c r="D360" s="19">
        <v>0</v>
      </c>
      <c r="E360" s="7" t="s">
        <v>775</v>
      </c>
      <c r="F360" s="19"/>
      <c r="G360" s="4">
        <f>IF(F360&gt;0,F360,IF(PrefetchDBSummary!$C$10="B",AJ360,8))</f>
        <v>8</v>
      </c>
      <c r="H360" s="4">
        <f>PrefetchDBSummary!$C$38</f>
        <v>0</v>
      </c>
      <c r="I360" s="4">
        <f>PrefetchDBSummary!$D$38</f>
        <v>0</v>
      </c>
      <c r="J360" s="5">
        <f t="shared" si="73"/>
        <v>0</v>
      </c>
      <c r="K360" s="4">
        <f t="shared" si="74"/>
        <v>0</v>
      </c>
      <c r="L360" s="4">
        <f t="shared" si="75"/>
        <v>0</v>
      </c>
      <c r="M360" s="5">
        <f t="shared" si="76"/>
        <v>0</v>
      </c>
      <c r="N360" s="17">
        <f t="shared" si="71"/>
        <v>0</v>
      </c>
      <c r="O360" s="32">
        <f t="shared" si="72"/>
        <v>0</v>
      </c>
      <c r="AG360" t="s">
        <v>185</v>
      </c>
      <c r="AH360" t="s">
        <v>583</v>
      </c>
      <c r="AI360">
        <v>1</v>
      </c>
      <c r="AJ360">
        <v>8</v>
      </c>
      <c r="AK360">
        <v>6</v>
      </c>
      <c r="AL360">
        <v>0</v>
      </c>
      <c r="AM360">
        <v>478</v>
      </c>
      <c r="AN360">
        <v>478</v>
      </c>
      <c r="AO360">
        <v>448</v>
      </c>
      <c r="AQ360" s="27">
        <f t="shared" si="77"/>
        <v>364</v>
      </c>
    </row>
    <row r="361" spans="1:43" ht="12.75">
      <c r="A361" s="18" t="s">
        <v>555</v>
      </c>
      <c r="B361" s="18" t="s">
        <v>2026</v>
      </c>
      <c r="C361" t="s">
        <v>239</v>
      </c>
      <c r="D361" s="19">
        <v>28</v>
      </c>
      <c r="E361" s="7" t="s">
        <v>776</v>
      </c>
      <c r="F361" s="19"/>
      <c r="G361" s="4">
        <f>IF(F361&gt;0,F361,IF(PrefetchDBSummary!$C$10="B",AJ361,8))</f>
        <v>8</v>
      </c>
      <c r="H361" s="4">
        <f>PrefetchDBSummary!$C$38</f>
        <v>0</v>
      </c>
      <c r="I361" s="4">
        <f>PrefetchDBSummary!$D$38</f>
        <v>0</v>
      </c>
      <c r="J361" s="5">
        <f t="shared" si="73"/>
        <v>0</v>
      </c>
      <c r="K361" s="4">
        <f t="shared" si="74"/>
        <v>0</v>
      </c>
      <c r="L361" s="4">
        <f t="shared" si="75"/>
        <v>0</v>
      </c>
      <c r="M361" s="5">
        <f t="shared" si="76"/>
        <v>0</v>
      </c>
      <c r="N361" s="17">
        <f t="shared" si="71"/>
        <v>0</v>
      </c>
      <c r="O361" s="32">
        <f t="shared" si="72"/>
        <v>0</v>
      </c>
      <c r="AG361" t="s">
        <v>254</v>
      </c>
      <c r="AH361" t="s">
        <v>583</v>
      </c>
      <c r="AI361">
        <v>1</v>
      </c>
      <c r="AJ361">
        <v>8</v>
      </c>
      <c r="AK361">
        <v>9</v>
      </c>
      <c r="AL361">
        <v>0</v>
      </c>
      <c r="AM361">
        <v>523</v>
      </c>
      <c r="AN361">
        <v>523</v>
      </c>
      <c r="AO361">
        <v>478</v>
      </c>
      <c r="AQ361" s="27">
        <f t="shared" si="77"/>
        <v>7678.600000000001</v>
      </c>
    </row>
    <row r="362" spans="1:43" ht="12.75">
      <c r="A362" s="18" t="s">
        <v>555</v>
      </c>
      <c r="B362" s="18" t="s">
        <v>2026</v>
      </c>
      <c r="C362" t="s">
        <v>348</v>
      </c>
      <c r="D362" s="19">
        <v>12</v>
      </c>
      <c r="E362" s="7" t="s">
        <v>777</v>
      </c>
      <c r="F362" s="19"/>
      <c r="G362" s="4">
        <f>IF(F362&gt;0,F362,IF(PrefetchDBSummary!$C$10="B",AJ362,8))</f>
        <v>8</v>
      </c>
      <c r="H362" s="4">
        <f>PrefetchDBSummary!$C$38</f>
        <v>0</v>
      </c>
      <c r="I362" s="4">
        <f>PrefetchDBSummary!$D$38</f>
        <v>0</v>
      </c>
      <c r="J362" s="5">
        <f t="shared" si="73"/>
        <v>0</v>
      </c>
      <c r="K362" s="4">
        <f t="shared" si="74"/>
        <v>0</v>
      </c>
      <c r="L362" s="4">
        <f t="shared" si="75"/>
        <v>0</v>
      </c>
      <c r="M362" s="5">
        <f t="shared" si="76"/>
        <v>0</v>
      </c>
      <c r="N362" s="17">
        <f t="shared" si="71"/>
        <v>0</v>
      </c>
      <c r="O362" s="32">
        <f t="shared" si="72"/>
        <v>0</v>
      </c>
      <c r="AG362" t="s">
        <v>352</v>
      </c>
      <c r="AH362" t="s">
        <v>583</v>
      </c>
      <c r="AI362">
        <v>1</v>
      </c>
      <c r="AJ362">
        <v>15</v>
      </c>
      <c r="AK362">
        <v>6</v>
      </c>
      <c r="AL362">
        <v>4</v>
      </c>
      <c r="AM362">
        <v>126</v>
      </c>
      <c r="AN362">
        <v>318</v>
      </c>
      <c r="AO362">
        <v>64</v>
      </c>
      <c r="AQ362" s="27">
        <f t="shared" si="77"/>
        <v>1691.1999999999998</v>
      </c>
    </row>
    <row r="363" spans="1:43" ht="12.75">
      <c r="A363" s="18" t="s">
        <v>555</v>
      </c>
      <c r="B363" s="18" t="s">
        <v>2026</v>
      </c>
      <c r="C363" t="s">
        <v>248</v>
      </c>
      <c r="D363" s="19">
        <v>1</v>
      </c>
      <c r="E363" s="7" t="str">
        <f>IF(AH363="S","Always one row per interval","")</f>
        <v>Always one row per interval</v>
      </c>
      <c r="F363" s="19"/>
      <c r="G363" s="4">
        <f>IF(F363&gt;0,F363,IF(PrefetchDBSummary!$C$10="B",AJ363,8))</f>
        <v>8</v>
      </c>
      <c r="H363" s="4">
        <f>PrefetchDBSummary!$C$38</f>
        <v>0</v>
      </c>
      <c r="I363" s="4">
        <f>PrefetchDBSummary!$D$38</f>
        <v>0</v>
      </c>
      <c r="J363" s="5">
        <f t="shared" si="73"/>
        <v>0</v>
      </c>
      <c r="K363" s="4">
        <f t="shared" si="74"/>
        <v>0</v>
      </c>
      <c r="L363" s="4">
        <f t="shared" si="75"/>
        <v>0</v>
      </c>
      <c r="M363" s="5">
        <f t="shared" si="76"/>
        <v>0</v>
      </c>
      <c r="N363" s="17">
        <f t="shared" si="71"/>
        <v>0</v>
      </c>
      <c r="O363" s="32">
        <f t="shared" si="72"/>
        <v>0</v>
      </c>
      <c r="AG363" t="s">
        <v>193</v>
      </c>
      <c r="AH363" t="s">
        <v>582</v>
      </c>
      <c r="AI363">
        <v>1</v>
      </c>
      <c r="AJ363">
        <v>32</v>
      </c>
      <c r="AK363">
        <v>6</v>
      </c>
      <c r="AL363">
        <v>5</v>
      </c>
      <c r="AM363">
        <v>90</v>
      </c>
      <c r="AN363">
        <v>285</v>
      </c>
      <c r="AO363">
        <v>64</v>
      </c>
      <c r="AQ363" s="27">
        <f t="shared" si="77"/>
        <v>438.6</v>
      </c>
    </row>
    <row r="364" spans="1:43" ht="12.75">
      <c r="A364" s="18" t="s">
        <v>555</v>
      </c>
      <c r="B364" s="18" t="s">
        <v>2026</v>
      </c>
      <c r="C364" t="s">
        <v>405</v>
      </c>
      <c r="D364" s="19">
        <v>2</v>
      </c>
      <c r="E364" s="7" t="s">
        <v>778</v>
      </c>
      <c r="F364" s="19"/>
      <c r="G364" s="4">
        <f>IF(F364&gt;0,F364,IF(PrefetchDBSummary!$C$10="B",AJ364,8))</f>
        <v>8</v>
      </c>
      <c r="H364" s="4">
        <f>PrefetchDBSummary!$C$38</f>
        <v>0</v>
      </c>
      <c r="I364" s="4">
        <f>PrefetchDBSummary!$D$38</f>
        <v>0</v>
      </c>
      <c r="J364" s="5">
        <f t="shared" si="73"/>
        <v>0</v>
      </c>
      <c r="K364" s="4">
        <f t="shared" si="74"/>
        <v>0</v>
      </c>
      <c r="L364" s="4">
        <f t="shared" si="75"/>
        <v>0</v>
      </c>
      <c r="M364" s="5">
        <f t="shared" si="76"/>
        <v>0</v>
      </c>
      <c r="N364" s="17">
        <f t="shared" si="71"/>
        <v>0</v>
      </c>
      <c r="O364" s="32">
        <f t="shared" si="72"/>
        <v>0</v>
      </c>
      <c r="AG364" t="s">
        <v>95</v>
      </c>
      <c r="AH364" t="s">
        <v>583</v>
      </c>
      <c r="AI364">
        <v>2</v>
      </c>
      <c r="AJ364">
        <v>32</v>
      </c>
      <c r="AK364">
        <v>6</v>
      </c>
      <c r="AL364">
        <v>5</v>
      </c>
      <c r="AM364">
        <v>150</v>
      </c>
      <c r="AN364">
        <v>405</v>
      </c>
      <c r="AO364">
        <v>64</v>
      </c>
      <c r="AQ364" s="27">
        <f t="shared" si="77"/>
        <v>633.2</v>
      </c>
    </row>
    <row r="365" spans="1:43" ht="12.75">
      <c r="A365" s="18" t="s">
        <v>555</v>
      </c>
      <c r="B365" s="18" t="s">
        <v>2026</v>
      </c>
      <c r="C365" t="s">
        <v>244</v>
      </c>
      <c r="D365" s="19">
        <v>0</v>
      </c>
      <c r="E365" s="7" t="s">
        <v>780</v>
      </c>
      <c r="F365" s="19"/>
      <c r="G365" s="4">
        <f>IF(F365&gt;0,F365,IF(PrefetchDBSummary!$C$10="B",AJ365,8))</f>
        <v>8</v>
      </c>
      <c r="H365" s="4">
        <f>PrefetchDBSummary!$C$38</f>
        <v>0</v>
      </c>
      <c r="I365" s="4">
        <f>PrefetchDBSummary!$D$38</f>
        <v>0</v>
      </c>
      <c r="J365" s="5">
        <f t="shared" si="73"/>
        <v>0</v>
      </c>
      <c r="K365" s="4">
        <f t="shared" si="74"/>
        <v>0</v>
      </c>
      <c r="L365" s="4">
        <f t="shared" si="75"/>
        <v>0</v>
      </c>
      <c r="M365" s="5">
        <f t="shared" si="76"/>
        <v>0</v>
      </c>
      <c r="N365" s="17">
        <f t="shared" si="71"/>
        <v>0</v>
      </c>
      <c r="O365" s="32">
        <f t="shared" si="72"/>
        <v>0</v>
      </c>
      <c r="AG365" t="s">
        <v>189</v>
      </c>
      <c r="AH365" t="s">
        <v>583</v>
      </c>
      <c r="AI365">
        <v>1</v>
      </c>
      <c r="AJ365">
        <v>8</v>
      </c>
      <c r="AK365">
        <v>8</v>
      </c>
      <c r="AL365">
        <v>0</v>
      </c>
      <c r="AM365">
        <v>520</v>
      </c>
      <c r="AN365">
        <v>520</v>
      </c>
      <c r="AO365">
        <v>472</v>
      </c>
      <c r="AQ365" s="27">
        <f t="shared" si="77"/>
        <v>402</v>
      </c>
    </row>
    <row r="366" spans="1:43" ht="12.75">
      <c r="A366" s="18" t="s">
        <v>555</v>
      </c>
      <c r="B366" s="18" t="s">
        <v>2026</v>
      </c>
      <c r="C366" t="s">
        <v>243</v>
      </c>
      <c r="D366" s="19">
        <v>1</v>
      </c>
      <c r="E366" s="7" t="str">
        <f>IF(AH366="S","Always one row per interval","")</f>
        <v>Always one row per interval</v>
      </c>
      <c r="F366" s="19"/>
      <c r="G366" s="4">
        <f>IF(F366&gt;0,F366,IF(PrefetchDBSummary!$C$10="B",AJ366,8))</f>
        <v>8</v>
      </c>
      <c r="H366" s="4">
        <f>PrefetchDBSummary!$C$38</f>
        <v>0</v>
      </c>
      <c r="I366" s="4">
        <f>PrefetchDBSummary!$D$38</f>
        <v>0</v>
      </c>
      <c r="J366" s="5">
        <f t="shared" si="73"/>
        <v>0</v>
      </c>
      <c r="K366" s="4">
        <f t="shared" si="74"/>
        <v>0</v>
      </c>
      <c r="L366" s="4">
        <f t="shared" si="75"/>
        <v>0</v>
      </c>
      <c r="M366" s="5">
        <f t="shared" si="76"/>
        <v>0</v>
      </c>
      <c r="N366" s="17">
        <f t="shared" si="71"/>
        <v>0</v>
      </c>
      <c r="O366" s="32">
        <f t="shared" si="72"/>
        <v>0</v>
      </c>
      <c r="AG366" t="s">
        <v>188</v>
      </c>
      <c r="AH366" t="s">
        <v>582</v>
      </c>
      <c r="AI366">
        <v>1</v>
      </c>
      <c r="AJ366">
        <v>32</v>
      </c>
      <c r="AK366">
        <v>9</v>
      </c>
      <c r="AL366">
        <v>4</v>
      </c>
      <c r="AM366">
        <v>127</v>
      </c>
      <c r="AN366">
        <v>235</v>
      </c>
      <c r="AO366">
        <v>64</v>
      </c>
      <c r="AQ366" s="27">
        <f t="shared" si="77"/>
        <v>532.6</v>
      </c>
    </row>
    <row r="367" spans="1:43" ht="12.75">
      <c r="A367" s="18" t="s">
        <v>555</v>
      </c>
      <c r="B367" s="18" t="s">
        <v>2026</v>
      </c>
      <c r="C367" t="s">
        <v>242</v>
      </c>
      <c r="D367" s="19">
        <v>65</v>
      </c>
      <c r="E367" s="7" t="s">
        <v>779</v>
      </c>
      <c r="F367" s="19"/>
      <c r="G367" s="4">
        <f>IF(F367&gt;0,F367,IF(PrefetchDBSummary!$C$10="B",AJ367,8))</f>
        <v>8</v>
      </c>
      <c r="H367" s="4">
        <f>PrefetchDBSummary!$C$38</f>
        <v>0</v>
      </c>
      <c r="I367" s="4">
        <f>PrefetchDBSummary!$D$38</f>
        <v>0</v>
      </c>
      <c r="J367" s="5">
        <f t="shared" si="73"/>
        <v>0</v>
      </c>
      <c r="K367" s="4">
        <f t="shared" si="74"/>
        <v>0</v>
      </c>
      <c r="L367" s="4">
        <f t="shared" si="75"/>
        <v>0</v>
      </c>
      <c r="M367" s="5">
        <f t="shared" si="76"/>
        <v>0</v>
      </c>
      <c r="N367" s="17">
        <f aca="true" t="shared" si="78" ref="N367:N430">L367*60*24*IF(G367&gt;0,G367,(G367))</f>
        <v>0</v>
      </c>
      <c r="O367" s="32">
        <f aca="true" t="shared" si="79" ref="O367:O430">N367*($AM367-$AO367*IF($AP367&gt;0,1-$AP367,1-$AS$2))*(1-$AS$3)/1024/1024</f>
        <v>0</v>
      </c>
      <c r="AG367" t="s">
        <v>187</v>
      </c>
      <c r="AH367" t="s">
        <v>583</v>
      </c>
      <c r="AI367">
        <v>1</v>
      </c>
      <c r="AJ367">
        <v>8</v>
      </c>
      <c r="AK367">
        <v>15</v>
      </c>
      <c r="AL367">
        <v>5</v>
      </c>
      <c r="AM367">
        <v>627</v>
      </c>
      <c r="AN367">
        <v>822</v>
      </c>
      <c r="AO367">
        <v>496</v>
      </c>
      <c r="AQ367" s="27">
        <f t="shared" si="77"/>
        <v>23441</v>
      </c>
    </row>
    <row r="368" spans="1:43" ht="12.75">
      <c r="A368" s="18" t="s">
        <v>555</v>
      </c>
      <c r="B368" s="18" t="s">
        <v>2026</v>
      </c>
      <c r="C368" t="s">
        <v>241</v>
      </c>
      <c r="D368" s="19">
        <v>1</v>
      </c>
      <c r="E368" s="7" t="str">
        <f aca="true" t="shared" si="80" ref="E368:E373">IF(AH368="S","Always one row per interval","")</f>
        <v>Always one row per interval</v>
      </c>
      <c r="F368" s="19"/>
      <c r="G368" s="4">
        <f>IF(F368&gt;0,F368,IF(PrefetchDBSummary!$C$10="B",AJ368,8))</f>
        <v>8</v>
      </c>
      <c r="H368" s="4">
        <f>PrefetchDBSummary!$C$38</f>
        <v>0</v>
      </c>
      <c r="I368" s="4">
        <f>PrefetchDBSummary!$D$38</f>
        <v>0</v>
      </c>
      <c r="J368" s="5">
        <f t="shared" si="73"/>
        <v>0</v>
      </c>
      <c r="K368" s="4">
        <f t="shared" si="74"/>
        <v>0</v>
      </c>
      <c r="L368" s="4">
        <f t="shared" si="75"/>
        <v>0</v>
      </c>
      <c r="M368" s="5">
        <f t="shared" si="76"/>
        <v>0</v>
      </c>
      <c r="N368" s="17">
        <f t="shared" si="78"/>
        <v>0</v>
      </c>
      <c r="O368" s="32">
        <f t="shared" si="79"/>
        <v>0</v>
      </c>
      <c r="AG368" t="s">
        <v>186</v>
      </c>
      <c r="AH368" t="s">
        <v>582</v>
      </c>
      <c r="AI368">
        <v>1</v>
      </c>
      <c r="AJ368">
        <v>32</v>
      </c>
      <c r="AK368">
        <v>13</v>
      </c>
      <c r="AL368">
        <v>11</v>
      </c>
      <c r="AM368">
        <v>173</v>
      </c>
      <c r="AN368">
        <v>638</v>
      </c>
      <c r="AO368">
        <v>64</v>
      </c>
      <c r="AQ368" s="27">
        <f t="shared" si="77"/>
        <v>654.6</v>
      </c>
    </row>
    <row r="369" spans="1:43" ht="12.75">
      <c r="A369" s="18" t="s">
        <v>555</v>
      </c>
      <c r="B369" s="18" t="s">
        <v>2026</v>
      </c>
      <c r="C369" t="s">
        <v>217</v>
      </c>
      <c r="D369" s="19">
        <v>1</v>
      </c>
      <c r="E369" s="7" t="str">
        <f t="shared" si="80"/>
        <v>Always one row per interval</v>
      </c>
      <c r="F369" s="19"/>
      <c r="G369" s="4">
        <f>IF(F369&gt;0,F369,IF(PrefetchDBSummary!$C$10="B",AJ369,8))</f>
        <v>8</v>
      </c>
      <c r="H369" s="4">
        <f>PrefetchDBSummary!$C$38</f>
        <v>0</v>
      </c>
      <c r="I369" s="4">
        <f>PrefetchDBSummary!$D$38</f>
        <v>0</v>
      </c>
      <c r="J369" s="5">
        <f t="shared" si="73"/>
        <v>0</v>
      </c>
      <c r="K369" s="4">
        <f t="shared" si="74"/>
        <v>0</v>
      </c>
      <c r="L369" s="4">
        <f t="shared" si="75"/>
        <v>0</v>
      </c>
      <c r="M369" s="5">
        <f t="shared" si="76"/>
        <v>0</v>
      </c>
      <c r="N369" s="17">
        <f t="shared" si="78"/>
        <v>0</v>
      </c>
      <c r="O369" s="32">
        <f t="shared" si="79"/>
        <v>0</v>
      </c>
      <c r="AG369" t="s">
        <v>250</v>
      </c>
      <c r="AH369" t="s">
        <v>582</v>
      </c>
      <c r="AI369">
        <v>1</v>
      </c>
      <c r="AJ369">
        <v>32</v>
      </c>
      <c r="AK369">
        <v>13</v>
      </c>
      <c r="AL369">
        <v>8</v>
      </c>
      <c r="AM369">
        <v>193</v>
      </c>
      <c r="AN369">
        <v>553</v>
      </c>
      <c r="AO369">
        <v>64</v>
      </c>
      <c r="AQ369" s="27">
        <f t="shared" si="77"/>
        <v>674.6</v>
      </c>
    </row>
    <row r="370" spans="1:43" ht="12.75">
      <c r="A370" s="18" t="s">
        <v>555</v>
      </c>
      <c r="B370" s="18" t="s">
        <v>2026</v>
      </c>
      <c r="C370" t="s">
        <v>488</v>
      </c>
      <c r="D370" s="19">
        <v>1</v>
      </c>
      <c r="E370" s="7" t="s">
        <v>710</v>
      </c>
      <c r="F370" s="19"/>
      <c r="G370" s="4">
        <f>IF(F370&gt;0,F370,IF(PrefetchDBSummary!$C$10="B",AJ370,8))</f>
        <v>8</v>
      </c>
      <c r="H370" s="4">
        <f>PrefetchDBSummary!$C$38</f>
        <v>0</v>
      </c>
      <c r="I370" s="4">
        <f>PrefetchDBSummary!$D$38</f>
        <v>0</v>
      </c>
      <c r="J370" s="5">
        <f t="shared" si="73"/>
        <v>0</v>
      </c>
      <c r="K370" s="4">
        <f t="shared" si="74"/>
        <v>0</v>
      </c>
      <c r="L370" s="4">
        <f t="shared" si="75"/>
        <v>0</v>
      </c>
      <c r="M370" s="5">
        <f t="shared" si="76"/>
        <v>0</v>
      </c>
      <c r="N370" s="17">
        <f t="shared" si="78"/>
        <v>0</v>
      </c>
      <c r="O370" s="32">
        <f t="shared" si="79"/>
        <v>0</v>
      </c>
      <c r="AG370" t="s">
        <v>578</v>
      </c>
      <c r="AH370" t="s">
        <v>583</v>
      </c>
      <c r="AI370">
        <v>1</v>
      </c>
      <c r="AJ370">
        <v>32</v>
      </c>
      <c r="AK370">
        <v>6</v>
      </c>
      <c r="AL370">
        <v>2</v>
      </c>
      <c r="AM370">
        <v>1230</v>
      </c>
      <c r="AN370">
        <v>1308</v>
      </c>
      <c r="AO370">
        <v>1216</v>
      </c>
      <c r="AQ370" s="27">
        <f t="shared" si="77"/>
        <v>887.4000000000001</v>
      </c>
    </row>
    <row r="371" spans="1:43" ht="12.75">
      <c r="A371" s="18" t="s">
        <v>555</v>
      </c>
      <c r="B371" s="18" t="s">
        <v>2026</v>
      </c>
      <c r="C371" t="s">
        <v>491</v>
      </c>
      <c r="D371" s="19">
        <v>1</v>
      </c>
      <c r="E371" s="7" t="str">
        <f t="shared" si="80"/>
        <v>Always one row per interval</v>
      </c>
      <c r="F371" s="19"/>
      <c r="G371" s="4">
        <f>IF(F371&gt;0,F371,IF(PrefetchDBSummary!$C$10="B",AJ371,8))</f>
        <v>8</v>
      </c>
      <c r="H371" s="4">
        <f>PrefetchDBSummary!$C$38</f>
        <v>0</v>
      </c>
      <c r="I371" s="4">
        <f>PrefetchDBSummary!$D$38</f>
        <v>0</v>
      </c>
      <c r="J371" s="5">
        <f t="shared" si="73"/>
        <v>0</v>
      </c>
      <c r="K371" s="4">
        <f t="shared" si="74"/>
        <v>0</v>
      </c>
      <c r="L371" s="4">
        <f t="shared" si="75"/>
        <v>0</v>
      </c>
      <c r="M371" s="5">
        <f t="shared" si="76"/>
        <v>0</v>
      </c>
      <c r="N371" s="17">
        <f t="shared" si="78"/>
        <v>0</v>
      </c>
      <c r="O371" s="32">
        <f t="shared" si="79"/>
        <v>0</v>
      </c>
      <c r="AG371" t="s">
        <v>492</v>
      </c>
      <c r="AH371" t="s">
        <v>582</v>
      </c>
      <c r="AI371">
        <v>1</v>
      </c>
      <c r="AJ371">
        <v>8</v>
      </c>
      <c r="AK371">
        <v>17</v>
      </c>
      <c r="AL371">
        <v>0</v>
      </c>
      <c r="AM371">
        <v>1665</v>
      </c>
      <c r="AN371">
        <v>1665</v>
      </c>
      <c r="AO371">
        <v>1612</v>
      </c>
      <c r="AQ371" s="27">
        <f t="shared" si="77"/>
        <v>1293.8000000000002</v>
      </c>
    </row>
    <row r="372" spans="1:43" ht="12.75">
      <c r="A372" s="18" t="s">
        <v>555</v>
      </c>
      <c r="B372" s="18" t="s">
        <v>2026</v>
      </c>
      <c r="C372" t="s">
        <v>216</v>
      </c>
      <c r="D372" s="19">
        <v>1</v>
      </c>
      <c r="E372" s="7" t="str">
        <f t="shared" si="80"/>
        <v>Always one row per interval</v>
      </c>
      <c r="F372" s="19"/>
      <c r="G372" s="4">
        <f>IF(F372&gt;0,F372,IF(PrefetchDBSummary!$C$10="B",AJ372,8))</f>
        <v>8</v>
      </c>
      <c r="H372" s="4">
        <f>PrefetchDBSummary!$C$38</f>
        <v>0</v>
      </c>
      <c r="I372" s="4">
        <f>PrefetchDBSummary!$D$38</f>
        <v>0</v>
      </c>
      <c r="J372" s="5">
        <f t="shared" si="73"/>
        <v>0</v>
      </c>
      <c r="K372" s="4">
        <f t="shared" si="74"/>
        <v>0</v>
      </c>
      <c r="L372" s="4">
        <f t="shared" si="75"/>
        <v>0</v>
      </c>
      <c r="M372" s="5">
        <f t="shared" si="76"/>
        <v>0</v>
      </c>
      <c r="N372" s="17">
        <f t="shared" si="78"/>
        <v>0</v>
      </c>
      <c r="O372" s="32">
        <f t="shared" si="79"/>
        <v>0</v>
      </c>
      <c r="AG372" t="s">
        <v>249</v>
      </c>
      <c r="AH372" t="s">
        <v>582</v>
      </c>
      <c r="AI372">
        <v>1</v>
      </c>
      <c r="AJ372">
        <v>32</v>
      </c>
      <c r="AK372">
        <v>21</v>
      </c>
      <c r="AL372">
        <v>15</v>
      </c>
      <c r="AM372">
        <v>293</v>
      </c>
      <c r="AN372">
        <v>875</v>
      </c>
      <c r="AO372">
        <v>96</v>
      </c>
      <c r="AQ372" s="27">
        <f t="shared" si="77"/>
        <v>907.4</v>
      </c>
    </row>
    <row r="373" spans="1:43" ht="12.75">
      <c r="A373" s="18" t="s">
        <v>555</v>
      </c>
      <c r="B373" s="18" t="s">
        <v>2026</v>
      </c>
      <c r="C373" t="s">
        <v>489</v>
      </c>
      <c r="D373" s="19">
        <v>1</v>
      </c>
      <c r="E373" s="7" t="str">
        <f t="shared" si="80"/>
        <v>Always one row per interval</v>
      </c>
      <c r="F373" s="19"/>
      <c r="G373" s="4">
        <f>IF(F373&gt;0,F373,IF(PrefetchDBSummary!$C$10="B",AJ373,8))</f>
        <v>8</v>
      </c>
      <c r="H373" s="4">
        <f>PrefetchDBSummary!$C$38</f>
        <v>0</v>
      </c>
      <c r="I373" s="4">
        <f>PrefetchDBSummary!$D$38</f>
        <v>0</v>
      </c>
      <c r="J373" s="5">
        <f t="shared" si="73"/>
        <v>0</v>
      </c>
      <c r="K373" s="4">
        <f t="shared" si="74"/>
        <v>0</v>
      </c>
      <c r="L373" s="4">
        <f t="shared" si="75"/>
        <v>0</v>
      </c>
      <c r="M373" s="5">
        <f t="shared" si="76"/>
        <v>0</v>
      </c>
      <c r="N373" s="17">
        <f t="shared" si="78"/>
        <v>0</v>
      </c>
      <c r="O373" s="32">
        <f t="shared" si="79"/>
        <v>0</v>
      </c>
      <c r="AG373" t="s">
        <v>490</v>
      </c>
      <c r="AH373" t="s">
        <v>582</v>
      </c>
      <c r="AI373">
        <v>1</v>
      </c>
      <c r="AJ373">
        <v>32</v>
      </c>
      <c r="AK373">
        <v>2</v>
      </c>
      <c r="AL373">
        <v>1</v>
      </c>
      <c r="AM373">
        <v>70</v>
      </c>
      <c r="AN373">
        <v>109</v>
      </c>
      <c r="AO373">
        <v>64</v>
      </c>
      <c r="AQ373" s="27">
        <f t="shared" si="77"/>
        <v>342.6</v>
      </c>
    </row>
    <row r="374" spans="1:43" ht="12.75">
      <c r="A374" s="18" t="s">
        <v>555</v>
      </c>
      <c r="B374" s="18" t="s">
        <v>2026</v>
      </c>
      <c r="C374" t="s">
        <v>349</v>
      </c>
      <c r="D374" s="19">
        <v>13</v>
      </c>
      <c r="E374" s="7" t="s">
        <v>781</v>
      </c>
      <c r="F374" s="19"/>
      <c r="G374" s="4">
        <f>IF(F374&gt;0,F374,IF(PrefetchDBSummary!$C$10="B",AJ374,8))</f>
        <v>8</v>
      </c>
      <c r="H374" s="4">
        <f>PrefetchDBSummary!$C$38</f>
        <v>0</v>
      </c>
      <c r="I374" s="4">
        <f>PrefetchDBSummary!$D$38</f>
        <v>0</v>
      </c>
      <c r="J374" s="5">
        <f t="shared" si="73"/>
        <v>0</v>
      </c>
      <c r="K374" s="4">
        <f t="shared" si="74"/>
        <v>0</v>
      </c>
      <c r="L374" s="4">
        <f t="shared" si="75"/>
        <v>0</v>
      </c>
      <c r="M374" s="5">
        <f t="shared" si="76"/>
        <v>0</v>
      </c>
      <c r="N374" s="17">
        <f t="shared" si="78"/>
        <v>0</v>
      </c>
      <c r="O374" s="32">
        <f t="shared" si="79"/>
        <v>0</v>
      </c>
      <c r="AG374" t="s">
        <v>353</v>
      </c>
      <c r="AH374" t="s">
        <v>583</v>
      </c>
      <c r="AI374">
        <v>1</v>
      </c>
      <c r="AJ374">
        <v>8</v>
      </c>
      <c r="AK374">
        <v>6</v>
      </c>
      <c r="AL374">
        <v>0</v>
      </c>
      <c r="AM374">
        <v>470</v>
      </c>
      <c r="AN374">
        <v>470</v>
      </c>
      <c r="AO374">
        <v>448</v>
      </c>
      <c r="AQ374" s="27">
        <f t="shared" si="77"/>
        <v>3278.6000000000004</v>
      </c>
    </row>
    <row r="375" spans="1:43" ht="12.75">
      <c r="A375" s="18" t="s">
        <v>555</v>
      </c>
      <c r="B375" s="18" t="s">
        <v>2026</v>
      </c>
      <c r="C375" t="s">
        <v>246</v>
      </c>
      <c r="D375" s="19">
        <v>10</v>
      </c>
      <c r="E375" s="7" t="s">
        <v>782</v>
      </c>
      <c r="F375" s="19"/>
      <c r="G375" s="4">
        <f>IF(F375&gt;0,F375,IF(PrefetchDBSummary!$C$10="B",AJ375,8))</f>
        <v>8</v>
      </c>
      <c r="H375" s="4">
        <f>PrefetchDBSummary!$C$38</f>
        <v>0</v>
      </c>
      <c r="I375" s="4">
        <f>PrefetchDBSummary!$D$38</f>
        <v>0</v>
      </c>
      <c r="J375" s="5">
        <f t="shared" si="73"/>
        <v>0</v>
      </c>
      <c r="K375" s="4">
        <f t="shared" si="74"/>
        <v>0</v>
      </c>
      <c r="L375" s="4">
        <f t="shared" si="75"/>
        <v>0</v>
      </c>
      <c r="M375" s="5">
        <f t="shared" si="76"/>
        <v>0</v>
      </c>
      <c r="N375" s="17">
        <f t="shared" si="78"/>
        <v>0</v>
      </c>
      <c r="O375" s="32">
        <f t="shared" si="79"/>
        <v>0</v>
      </c>
      <c r="AG375" t="s">
        <v>191</v>
      </c>
      <c r="AH375" t="s">
        <v>583</v>
      </c>
      <c r="AI375">
        <v>3</v>
      </c>
      <c r="AJ375">
        <v>15</v>
      </c>
      <c r="AK375">
        <v>5</v>
      </c>
      <c r="AL375">
        <v>3</v>
      </c>
      <c r="AM375">
        <v>125</v>
      </c>
      <c r="AN375">
        <v>176</v>
      </c>
      <c r="AO375">
        <v>96</v>
      </c>
      <c r="AQ375" s="27">
        <f t="shared" si="77"/>
        <v>1249</v>
      </c>
    </row>
    <row r="376" spans="1:43" ht="12.75">
      <c r="A376" s="18" t="s">
        <v>555</v>
      </c>
      <c r="B376" s="18" t="s">
        <v>2026</v>
      </c>
      <c r="C376" t="s">
        <v>245</v>
      </c>
      <c r="D376" s="19">
        <v>1</v>
      </c>
      <c r="E376" s="7" t="str">
        <f>IF(AH376="S","Always one row per interval","")</f>
        <v>Always one row per interval</v>
      </c>
      <c r="F376" s="19"/>
      <c r="G376" s="4">
        <f>IF(F376&gt;0,F376,IF(PrefetchDBSummary!$C$10="B",AJ376,8))</f>
        <v>8</v>
      </c>
      <c r="H376" s="4">
        <f>PrefetchDBSummary!$C$38</f>
        <v>0</v>
      </c>
      <c r="I376" s="4">
        <f>PrefetchDBSummary!$D$38</f>
        <v>0</v>
      </c>
      <c r="J376" s="5">
        <f t="shared" si="73"/>
        <v>0</v>
      </c>
      <c r="K376" s="4">
        <f t="shared" si="74"/>
        <v>0</v>
      </c>
      <c r="L376" s="4">
        <f t="shared" si="75"/>
        <v>0</v>
      </c>
      <c r="M376" s="5">
        <f t="shared" si="76"/>
        <v>0</v>
      </c>
      <c r="N376" s="17">
        <f t="shared" si="78"/>
        <v>0</v>
      </c>
      <c r="O376" s="32">
        <f t="shared" si="79"/>
        <v>0</v>
      </c>
      <c r="AG376" t="s">
        <v>190</v>
      </c>
      <c r="AH376" t="s">
        <v>582</v>
      </c>
      <c r="AI376">
        <v>1</v>
      </c>
      <c r="AJ376">
        <v>32</v>
      </c>
      <c r="AK376">
        <v>12</v>
      </c>
      <c r="AL376">
        <v>9</v>
      </c>
      <c r="AM376">
        <v>204</v>
      </c>
      <c r="AN376">
        <v>627</v>
      </c>
      <c r="AO376">
        <v>64</v>
      </c>
      <c r="AQ376" s="27">
        <f t="shared" si="77"/>
        <v>666.6</v>
      </c>
    </row>
    <row r="377" spans="1:43" ht="12.75">
      <c r="A377" s="18" t="s">
        <v>555</v>
      </c>
      <c r="B377" s="18" t="s">
        <v>2026</v>
      </c>
      <c r="C377" t="s">
        <v>247</v>
      </c>
      <c r="D377" s="4">
        <f>PrefetchDBSummary!$E$38</f>
        <v>1000</v>
      </c>
      <c r="E377" s="7" t="s">
        <v>783</v>
      </c>
      <c r="F377" s="19"/>
      <c r="G377" s="4">
        <f>IF(F377&gt;0,F377,IF(PrefetchDBSummary!$C$10="B",AJ377,8))</f>
        <v>8</v>
      </c>
      <c r="H377" s="4">
        <f>PrefetchDBSummary!$C$38</f>
        <v>0</v>
      </c>
      <c r="I377" s="4">
        <f>PrefetchDBSummary!$D$38</f>
        <v>0</v>
      </c>
      <c r="J377" s="5">
        <f t="shared" si="73"/>
        <v>0</v>
      </c>
      <c r="K377" s="4">
        <f t="shared" si="74"/>
        <v>0</v>
      </c>
      <c r="L377" s="4">
        <f t="shared" si="75"/>
        <v>0</v>
      </c>
      <c r="M377" s="5">
        <f t="shared" si="76"/>
        <v>0</v>
      </c>
      <c r="N377" s="17">
        <f t="shared" si="78"/>
        <v>0</v>
      </c>
      <c r="O377" s="32">
        <f t="shared" si="79"/>
        <v>0</v>
      </c>
      <c r="AG377" t="s">
        <v>192</v>
      </c>
      <c r="AH377" t="s">
        <v>583</v>
      </c>
      <c r="AI377">
        <v>3</v>
      </c>
      <c r="AJ377">
        <v>8</v>
      </c>
      <c r="AK377">
        <v>13</v>
      </c>
      <c r="AL377">
        <v>5</v>
      </c>
      <c r="AM377">
        <v>1301</v>
      </c>
      <c r="AN377">
        <v>1520</v>
      </c>
      <c r="AO377">
        <v>1216</v>
      </c>
      <c r="AQ377" s="27">
        <f t="shared" si="77"/>
        <v>594897.0000000001</v>
      </c>
    </row>
    <row r="378" spans="1:43" ht="12.75">
      <c r="A378" s="1" t="s">
        <v>556</v>
      </c>
      <c r="B378" s="18" t="s">
        <v>67</v>
      </c>
      <c r="C378" t="s">
        <v>39</v>
      </c>
      <c r="D378" s="19">
        <v>2</v>
      </c>
      <c r="E378" s="7" t="s">
        <v>741</v>
      </c>
      <c r="F378" s="19"/>
      <c r="G378" s="4">
        <f>IF(F378&gt;0,F378,IF(PrefetchDBSummary!$C$10="B",AJ378,8))</f>
        <v>8</v>
      </c>
      <c r="H378" s="4">
        <f>PrefetchDBSummary!$C$63</f>
        <v>0</v>
      </c>
      <c r="I378" s="4">
        <f>PrefetchDBSummary!$D$63</f>
        <v>0</v>
      </c>
      <c r="J378" s="5">
        <f t="shared" si="73"/>
        <v>0</v>
      </c>
      <c r="K378" s="4">
        <f t="shared" si="74"/>
        <v>0</v>
      </c>
      <c r="L378" s="4">
        <f t="shared" si="75"/>
        <v>0</v>
      </c>
      <c r="M378" s="5">
        <f t="shared" si="76"/>
        <v>0</v>
      </c>
      <c r="N378" s="17">
        <f t="shared" si="78"/>
        <v>0</v>
      </c>
      <c r="O378" s="32">
        <f t="shared" si="79"/>
        <v>0</v>
      </c>
      <c r="AG378" t="s">
        <v>40</v>
      </c>
      <c r="AH378" t="s">
        <v>583</v>
      </c>
      <c r="AI378">
        <v>1</v>
      </c>
      <c r="AJ378">
        <v>15</v>
      </c>
      <c r="AK378">
        <v>5</v>
      </c>
      <c r="AL378">
        <v>2</v>
      </c>
      <c r="AM378">
        <v>169</v>
      </c>
      <c r="AN378">
        <v>255</v>
      </c>
      <c r="AO378">
        <v>132</v>
      </c>
      <c r="AP378" s="44">
        <v>0.6401515151515151</v>
      </c>
      <c r="AQ378" s="27">
        <f t="shared" si="77"/>
        <v>560</v>
      </c>
    </row>
    <row r="379" spans="1:43" ht="12.75">
      <c r="A379" s="1" t="s">
        <v>556</v>
      </c>
      <c r="B379" s="18" t="s">
        <v>67</v>
      </c>
      <c r="C379" t="s">
        <v>61</v>
      </c>
      <c r="D379" s="19">
        <v>2</v>
      </c>
      <c r="E379" s="7" t="s">
        <v>741</v>
      </c>
      <c r="F379" s="19"/>
      <c r="G379" s="4">
        <f>IF(F379&gt;0,F379,IF(PrefetchDBSummary!$C$10="B",AJ379,8))</f>
        <v>8</v>
      </c>
      <c r="H379" s="4">
        <f>PrefetchDBSummary!$C$63</f>
        <v>0</v>
      </c>
      <c r="I379" s="4">
        <f>PrefetchDBSummary!$D$63</f>
        <v>0</v>
      </c>
      <c r="J379" s="5">
        <f t="shared" si="73"/>
        <v>0</v>
      </c>
      <c r="K379" s="4">
        <f t="shared" si="74"/>
        <v>0</v>
      </c>
      <c r="L379" s="4">
        <f t="shared" si="75"/>
        <v>0</v>
      </c>
      <c r="M379" s="5">
        <f t="shared" si="76"/>
        <v>0</v>
      </c>
      <c r="N379" s="17">
        <f t="shared" si="78"/>
        <v>0</v>
      </c>
      <c r="O379" s="32">
        <f t="shared" si="79"/>
        <v>0</v>
      </c>
      <c r="AG379" t="s">
        <v>62</v>
      </c>
      <c r="AH379" t="s">
        <v>583</v>
      </c>
      <c r="AI379">
        <v>5</v>
      </c>
      <c r="AJ379">
        <v>8</v>
      </c>
      <c r="AK379">
        <v>7</v>
      </c>
      <c r="AL379">
        <v>4</v>
      </c>
      <c r="AM379">
        <v>271</v>
      </c>
      <c r="AN379">
        <v>443</v>
      </c>
      <c r="AO379">
        <v>232</v>
      </c>
      <c r="AP379" s="44">
        <v>0.6961206896551724</v>
      </c>
      <c r="AQ379" s="27">
        <f t="shared" si="77"/>
        <v>648</v>
      </c>
    </row>
    <row r="380" spans="1:43" ht="12.75">
      <c r="A380" s="1" t="s">
        <v>556</v>
      </c>
      <c r="B380" s="18" t="s">
        <v>67</v>
      </c>
      <c r="C380" t="s">
        <v>51</v>
      </c>
      <c r="D380" s="19">
        <v>6</v>
      </c>
      <c r="E380" s="7" t="s">
        <v>743</v>
      </c>
      <c r="F380" s="19"/>
      <c r="G380" s="4">
        <f>IF(F380&gt;0,F380,IF(PrefetchDBSummary!$C$10="B",AJ380,8))</f>
        <v>8</v>
      </c>
      <c r="H380" s="4">
        <f>PrefetchDBSummary!$C$63</f>
        <v>0</v>
      </c>
      <c r="I380" s="4">
        <f>PrefetchDBSummary!$D$63</f>
        <v>0</v>
      </c>
      <c r="J380" s="5">
        <f t="shared" si="73"/>
        <v>0</v>
      </c>
      <c r="K380" s="4">
        <f t="shared" si="74"/>
        <v>0</v>
      </c>
      <c r="L380" s="4">
        <f t="shared" si="75"/>
        <v>0</v>
      </c>
      <c r="M380" s="5">
        <f t="shared" si="76"/>
        <v>0</v>
      </c>
      <c r="N380" s="17">
        <f t="shared" si="78"/>
        <v>0</v>
      </c>
      <c r="O380" s="32">
        <f t="shared" si="79"/>
        <v>0</v>
      </c>
      <c r="AG380" t="s">
        <v>52</v>
      </c>
      <c r="AH380" t="s">
        <v>583</v>
      </c>
      <c r="AI380">
        <v>5</v>
      </c>
      <c r="AJ380">
        <v>8</v>
      </c>
      <c r="AK380">
        <v>5</v>
      </c>
      <c r="AL380">
        <v>2</v>
      </c>
      <c r="AM380">
        <v>289</v>
      </c>
      <c r="AN380">
        <v>383</v>
      </c>
      <c r="AO380">
        <v>260</v>
      </c>
      <c r="AP380" s="44">
        <v>0.3936781609195402</v>
      </c>
      <c r="AQ380" s="27">
        <f t="shared" si="77"/>
        <v>1602.8620689655172</v>
      </c>
    </row>
    <row r="381" spans="1:43" ht="12.75">
      <c r="A381" s="1" t="s">
        <v>556</v>
      </c>
      <c r="B381" s="18" t="s">
        <v>67</v>
      </c>
      <c r="C381" t="s">
        <v>63</v>
      </c>
      <c r="D381" s="19">
        <v>6</v>
      </c>
      <c r="E381" s="7" t="s">
        <v>743</v>
      </c>
      <c r="F381" s="19"/>
      <c r="G381" s="4">
        <f>IF(F381&gt;0,F381,IF(PrefetchDBSummary!$C$10="B",AJ381,8))</f>
        <v>8</v>
      </c>
      <c r="H381" s="4">
        <f>PrefetchDBSummary!$C$63</f>
        <v>0</v>
      </c>
      <c r="I381" s="4">
        <f>PrefetchDBSummary!$D$63</f>
        <v>0</v>
      </c>
      <c r="J381" s="5">
        <f t="shared" si="73"/>
        <v>0</v>
      </c>
      <c r="K381" s="4">
        <f t="shared" si="74"/>
        <v>0</v>
      </c>
      <c r="L381" s="4">
        <f t="shared" si="75"/>
        <v>0</v>
      </c>
      <c r="M381" s="5">
        <f t="shared" si="76"/>
        <v>0</v>
      </c>
      <c r="N381" s="17">
        <f t="shared" si="78"/>
        <v>0</v>
      </c>
      <c r="O381" s="32">
        <f t="shared" si="79"/>
        <v>0</v>
      </c>
      <c r="AG381" t="s">
        <v>64</v>
      </c>
      <c r="AH381" t="s">
        <v>583</v>
      </c>
      <c r="AI381">
        <v>1</v>
      </c>
      <c r="AJ381">
        <v>15</v>
      </c>
      <c r="AK381">
        <v>10</v>
      </c>
      <c r="AL381">
        <v>4</v>
      </c>
      <c r="AM381">
        <v>438</v>
      </c>
      <c r="AN381">
        <v>622</v>
      </c>
      <c r="AO381">
        <v>360</v>
      </c>
      <c r="AP381" s="44">
        <v>0.41522988505747127</v>
      </c>
      <c r="AQ381" s="27">
        <f t="shared" si="77"/>
        <v>2309.1034482758623</v>
      </c>
    </row>
    <row r="382" spans="1:43" ht="12.75">
      <c r="A382" s="1" t="s">
        <v>556</v>
      </c>
      <c r="B382" s="18" t="s">
        <v>67</v>
      </c>
      <c r="C382" t="s">
        <v>41</v>
      </c>
      <c r="D382" s="19">
        <v>1</v>
      </c>
      <c r="E382" s="7" t="s">
        <v>710</v>
      </c>
      <c r="F382" s="19"/>
      <c r="G382" s="4">
        <f>IF(F382&gt;0,F382,IF(PrefetchDBSummary!$C$10="B",AJ382,8))</f>
        <v>8</v>
      </c>
      <c r="H382" s="4">
        <f>PrefetchDBSummary!$C$63</f>
        <v>0</v>
      </c>
      <c r="I382" s="4">
        <f>PrefetchDBSummary!$D$63</f>
        <v>0</v>
      </c>
      <c r="J382" s="5">
        <f t="shared" si="73"/>
        <v>0</v>
      </c>
      <c r="K382" s="4">
        <f t="shared" si="74"/>
        <v>0</v>
      </c>
      <c r="L382" s="4">
        <f t="shared" si="75"/>
        <v>0</v>
      </c>
      <c r="M382" s="5">
        <f t="shared" si="76"/>
        <v>0</v>
      </c>
      <c r="N382" s="17">
        <f t="shared" si="78"/>
        <v>0</v>
      </c>
      <c r="O382" s="32">
        <f t="shared" si="79"/>
        <v>0</v>
      </c>
      <c r="AG382" t="s">
        <v>42</v>
      </c>
      <c r="AH382" t="s">
        <v>583</v>
      </c>
      <c r="AI382">
        <v>1</v>
      </c>
      <c r="AJ382">
        <v>15</v>
      </c>
      <c r="AK382">
        <v>7</v>
      </c>
      <c r="AL382">
        <v>4</v>
      </c>
      <c r="AM382">
        <v>91</v>
      </c>
      <c r="AN382">
        <v>263</v>
      </c>
      <c r="AO382">
        <v>32</v>
      </c>
      <c r="AP382" s="44">
        <v>0</v>
      </c>
      <c r="AQ382" s="27">
        <f t="shared" si="77"/>
        <v>477.8</v>
      </c>
    </row>
    <row r="383" spans="1:43" ht="12.75">
      <c r="A383" s="1" t="s">
        <v>556</v>
      </c>
      <c r="B383" s="18" t="s">
        <v>67</v>
      </c>
      <c r="C383" t="s">
        <v>55</v>
      </c>
      <c r="D383" s="19">
        <v>1</v>
      </c>
      <c r="E383" s="7" t="str">
        <f>IF(AH383="S","Always one row per interval","")</f>
        <v>Always one row per interval</v>
      </c>
      <c r="F383" s="19"/>
      <c r="G383" s="4">
        <f>IF(F383&gt;0,F383,IF(PrefetchDBSummary!$C$10="B",AJ383,8))</f>
        <v>8</v>
      </c>
      <c r="H383" s="4">
        <f>PrefetchDBSummary!$C$63</f>
        <v>0</v>
      </c>
      <c r="I383" s="4">
        <f>PrefetchDBSummary!$D$63</f>
        <v>0</v>
      </c>
      <c r="J383" s="5">
        <f aca="true" t="shared" si="81" ref="J383:J446">IF(H383&gt;0,(AQ383)/(AI383*60),IF(I383&gt;0,(AQ383)/(5*60),0))</f>
        <v>0</v>
      </c>
      <c r="K383" s="4">
        <f aca="true" t="shared" si="82" ref="K383:K446">IF(H383&gt;0,D383/AI383,IF(I383&gt;0,D383/5,0))</f>
        <v>0</v>
      </c>
      <c r="L383" s="4">
        <f aca="true" t="shared" si="83" ref="L383:L446">H383*D383/AI383+I383*D383/5</f>
        <v>0</v>
      </c>
      <c r="M383" s="5">
        <f aca="true" t="shared" si="84" ref="M383:M446">L383*AM383*(1-IF(AP383&gt;0,AP383,$AS$2)*$AS$3)/1024</f>
        <v>0</v>
      </c>
      <c r="N383" s="17">
        <f t="shared" si="78"/>
        <v>0</v>
      </c>
      <c r="O383" s="32">
        <f t="shared" si="79"/>
        <v>0</v>
      </c>
      <c r="AG383" t="s">
        <v>56</v>
      </c>
      <c r="AH383" t="s">
        <v>582</v>
      </c>
      <c r="AI383">
        <v>5</v>
      </c>
      <c r="AJ383">
        <v>8</v>
      </c>
      <c r="AK383">
        <v>5</v>
      </c>
      <c r="AL383">
        <v>3</v>
      </c>
      <c r="AM383">
        <v>81</v>
      </c>
      <c r="AN383">
        <v>214</v>
      </c>
      <c r="AO383">
        <v>32</v>
      </c>
      <c r="AP383" s="44">
        <v>0</v>
      </c>
      <c r="AQ383" s="27">
        <f t="shared" si="77"/>
        <v>429.8</v>
      </c>
    </row>
    <row r="384" spans="1:43" ht="12.75">
      <c r="A384" s="1" t="s">
        <v>556</v>
      </c>
      <c r="B384" s="18" t="s">
        <v>67</v>
      </c>
      <c r="C384" t="s">
        <v>59</v>
      </c>
      <c r="D384" s="19">
        <v>1</v>
      </c>
      <c r="E384" s="7" t="str">
        <f>IF(AH384="S","Always one row per interval","")</f>
        <v>Always one row per interval</v>
      </c>
      <c r="F384" s="19"/>
      <c r="G384" s="4">
        <f>IF(F384&gt;0,F384,IF(PrefetchDBSummary!$C$10="B",AJ384,8))</f>
        <v>8</v>
      </c>
      <c r="H384" s="4">
        <f>PrefetchDBSummary!$C$63</f>
        <v>0</v>
      </c>
      <c r="I384" s="4">
        <f>PrefetchDBSummary!$D$63</f>
        <v>0</v>
      </c>
      <c r="J384" s="5">
        <f t="shared" si="81"/>
        <v>0</v>
      </c>
      <c r="K384" s="4">
        <f t="shared" si="82"/>
        <v>0</v>
      </c>
      <c r="L384" s="4">
        <f t="shared" si="83"/>
        <v>0</v>
      </c>
      <c r="M384" s="5">
        <f t="shared" si="84"/>
        <v>0</v>
      </c>
      <c r="N384" s="17">
        <f t="shared" si="78"/>
        <v>0</v>
      </c>
      <c r="O384" s="32">
        <f t="shared" si="79"/>
        <v>0</v>
      </c>
      <c r="AG384" t="s">
        <v>60</v>
      </c>
      <c r="AH384" t="s">
        <v>582</v>
      </c>
      <c r="AI384">
        <v>1</v>
      </c>
      <c r="AJ384">
        <v>15</v>
      </c>
      <c r="AK384">
        <v>5</v>
      </c>
      <c r="AL384">
        <v>3</v>
      </c>
      <c r="AM384">
        <v>85</v>
      </c>
      <c r="AN384">
        <v>222</v>
      </c>
      <c r="AO384">
        <v>32</v>
      </c>
      <c r="AP384" s="44">
        <v>0</v>
      </c>
      <c r="AQ384" s="27">
        <f aca="true" t="shared" si="85" ref="AQ384:AQ447">250+19*AK384+D384*(23+(AM384-AO384)+AO384*(1-IF(AP384&gt;0,AP384,$AS$2)))</f>
        <v>433.8</v>
      </c>
    </row>
    <row r="385" spans="1:43" ht="12.75">
      <c r="A385" s="1" t="s">
        <v>556</v>
      </c>
      <c r="B385" s="18" t="s">
        <v>67</v>
      </c>
      <c r="C385" t="s">
        <v>43</v>
      </c>
      <c r="D385" s="19">
        <v>2</v>
      </c>
      <c r="E385" s="7" t="s">
        <v>784</v>
      </c>
      <c r="F385" s="19"/>
      <c r="G385" s="4">
        <f>IF(F385&gt;0,F385,IF(PrefetchDBSummary!$C$10="B",AJ385,8))</f>
        <v>8</v>
      </c>
      <c r="H385" s="4">
        <f>PrefetchDBSummary!$C$63</f>
        <v>0</v>
      </c>
      <c r="I385" s="4">
        <f>PrefetchDBSummary!$D$63</f>
        <v>0</v>
      </c>
      <c r="J385" s="5">
        <f t="shared" si="81"/>
        <v>0</v>
      </c>
      <c r="K385" s="4">
        <f t="shared" si="82"/>
        <v>0</v>
      </c>
      <c r="L385" s="4">
        <f t="shared" si="83"/>
        <v>0</v>
      </c>
      <c r="M385" s="5">
        <f t="shared" si="84"/>
        <v>0</v>
      </c>
      <c r="N385" s="17">
        <f t="shared" si="78"/>
        <v>0</v>
      </c>
      <c r="O385" s="32">
        <f t="shared" si="79"/>
        <v>0</v>
      </c>
      <c r="AG385" t="s">
        <v>44</v>
      </c>
      <c r="AH385" t="s">
        <v>583</v>
      </c>
      <c r="AI385">
        <v>8</v>
      </c>
      <c r="AJ385">
        <v>8</v>
      </c>
      <c r="AK385">
        <v>6</v>
      </c>
      <c r="AL385">
        <v>5</v>
      </c>
      <c r="AM385">
        <v>78</v>
      </c>
      <c r="AN385">
        <v>277</v>
      </c>
      <c r="AO385">
        <v>32</v>
      </c>
      <c r="AP385" s="44">
        <v>0.6628787878787878</v>
      </c>
      <c r="AQ385" s="27">
        <f t="shared" si="85"/>
        <v>523.5757575757575</v>
      </c>
    </row>
    <row r="386" spans="1:43" ht="12.75">
      <c r="A386" s="1" t="s">
        <v>556</v>
      </c>
      <c r="B386" s="18" t="s">
        <v>67</v>
      </c>
      <c r="C386" t="s">
        <v>45</v>
      </c>
      <c r="D386" s="19">
        <v>1</v>
      </c>
      <c r="E386" s="7" t="str">
        <f>IF(AH386="S","Always one row per interval","")</f>
        <v>Always one row per interval</v>
      </c>
      <c r="F386" s="19"/>
      <c r="G386" s="4">
        <f>IF(F386&gt;0,F386,IF(PrefetchDBSummary!$C$10="B",AJ386,8))</f>
        <v>8</v>
      </c>
      <c r="H386" s="4">
        <f>PrefetchDBSummary!$C$63</f>
        <v>0</v>
      </c>
      <c r="I386" s="4">
        <f>PrefetchDBSummary!$D$63</f>
        <v>0</v>
      </c>
      <c r="J386" s="5">
        <f t="shared" si="81"/>
        <v>0</v>
      </c>
      <c r="K386" s="4">
        <f t="shared" si="82"/>
        <v>0</v>
      </c>
      <c r="L386" s="4">
        <f t="shared" si="83"/>
        <v>0</v>
      </c>
      <c r="M386" s="5">
        <f t="shared" si="84"/>
        <v>0</v>
      </c>
      <c r="N386" s="17">
        <f t="shared" si="78"/>
        <v>0</v>
      </c>
      <c r="O386" s="32">
        <f t="shared" si="79"/>
        <v>0</v>
      </c>
      <c r="AG386" t="s">
        <v>46</v>
      </c>
      <c r="AH386" t="s">
        <v>582</v>
      </c>
      <c r="AI386">
        <v>8</v>
      </c>
      <c r="AJ386">
        <v>8</v>
      </c>
      <c r="AK386">
        <v>3</v>
      </c>
      <c r="AL386">
        <v>0</v>
      </c>
      <c r="AM386">
        <v>235</v>
      </c>
      <c r="AN386">
        <v>235</v>
      </c>
      <c r="AO386">
        <v>232</v>
      </c>
      <c r="AP386" s="44">
        <v>0.7198275862068966</v>
      </c>
      <c r="AQ386" s="27">
        <f t="shared" si="85"/>
        <v>398</v>
      </c>
    </row>
    <row r="387" spans="1:43" ht="12.75">
      <c r="A387" s="1" t="s">
        <v>556</v>
      </c>
      <c r="B387" s="18" t="s">
        <v>67</v>
      </c>
      <c r="C387" t="s">
        <v>53</v>
      </c>
      <c r="D387" s="19">
        <v>1</v>
      </c>
      <c r="E387" s="7" t="str">
        <f>IF(AH387="S","Always one row per interval","")</f>
        <v>Always one row per interval</v>
      </c>
      <c r="F387" s="19"/>
      <c r="G387" s="4">
        <f>IF(F387&gt;0,F387,IF(PrefetchDBSummary!$C$10="B",AJ387,8))</f>
        <v>8</v>
      </c>
      <c r="H387" s="4">
        <f>PrefetchDBSummary!$C$63</f>
        <v>0</v>
      </c>
      <c r="I387" s="4">
        <f>PrefetchDBSummary!$D$63</f>
        <v>0</v>
      </c>
      <c r="J387" s="5">
        <f t="shared" si="81"/>
        <v>0</v>
      </c>
      <c r="K387" s="4">
        <f t="shared" si="82"/>
        <v>0</v>
      </c>
      <c r="L387" s="4">
        <f t="shared" si="83"/>
        <v>0</v>
      </c>
      <c r="M387" s="5">
        <f t="shared" si="84"/>
        <v>0</v>
      </c>
      <c r="N387" s="17">
        <f t="shared" si="78"/>
        <v>0</v>
      </c>
      <c r="O387" s="32">
        <f t="shared" si="79"/>
        <v>0</v>
      </c>
      <c r="AG387" t="s">
        <v>54</v>
      </c>
      <c r="AH387" t="s">
        <v>582</v>
      </c>
      <c r="AI387">
        <v>8</v>
      </c>
      <c r="AJ387">
        <v>8</v>
      </c>
      <c r="AK387">
        <v>6</v>
      </c>
      <c r="AL387">
        <v>1</v>
      </c>
      <c r="AM387">
        <v>406</v>
      </c>
      <c r="AN387">
        <v>445</v>
      </c>
      <c r="AO387">
        <v>396</v>
      </c>
      <c r="AP387" s="44">
        <v>0.7289156626506024</v>
      </c>
      <c r="AQ387" s="27">
        <f t="shared" si="85"/>
        <v>504.3493975903615</v>
      </c>
    </row>
    <row r="388" spans="1:43" ht="12.75">
      <c r="A388" s="1" t="s">
        <v>556</v>
      </c>
      <c r="B388" s="18" t="s">
        <v>67</v>
      </c>
      <c r="C388" t="s">
        <v>49</v>
      </c>
      <c r="D388" s="4">
        <f>PrefetchDBSummary!$E$63</f>
        <v>30</v>
      </c>
      <c r="E388" s="7" t="s">
        <v>744</v>
      </c>
      <c r="F388" s="19"/>
      <c r="G388" s="4">
        <f>IF(F388&gt;0,F388,IF(PrefetchDBSummary!$C$10="B",AJ388,8))</f>
        <v>8</v>
      </c>
      <c r="H388" s="4">
        <f>PrefetchDBSummary!$C$63</f>
        <v>0</v>
      </c>
      <c r="I388" s="4">
        <f>PrefetchDBSummary!$D$63</f>
        <v>0</v>
      </c>
      <c r="J388" s="5">
        <f t="shared" si="81"/>
        <v>0</v>
      </c>
      <c r="K388" s="4">
        <f t="shared" si="82"/>
        <v>0</v>
      </c>
      <c r="L388" s="4">
        <f t="shared" si="83"/>
        <v>0</v>
      </c>
      <c r="M388" s="5">
        <f t="shared" si="84"/>
        <v>0</v>
      </c>
      <c r="N388" s="17">
        <f t="shared" si="78"/>
        <v>0</v>
      </c>
      <c r="O388" s="32">
        <f t="shared" si="79"/>
        <v>0</v>
      </c>
      <c r="AG388" t="s">
        <v>50</v>
      </c>
      <c r="AH388" t="s">
        <v>583</v>
      </c>
      <c r="AI388">
        <v>5</v>
      </c>
      <c r="AJ388">
        <v>8</v>
      </c>
      <c r="AK388">
        <v>7</v>
      </c>
      <c r="AL388">
        <v>2</v>
      </c>
      <c r="AM388">
        <v>1083</v>
      </c>
      <c r="AN388">
        <v>1173</v>
      </c>
      <c r="AO388">
        <v>1056</v>
      </c>
      <c r="AP388" s="44">
        <v>0.843910483904639</v>
      </c>
      <c r="AQ388" s="27">
        <f t="shared" si="85"/>
        <v>6827.915869901038</v>
      </c>
    </row>
    <row r="389" spans="1:43" ht="12.75">
      <c r="A389" s="1" t="s">
        <v>556</v>
      </c>
      <c r="B389" s="18" t="s">
        <v>67</v>
      </c>
      <c r="C389" t="s">
        <v>669</v>
      </c>
      <c r="D389" s="4">
        <f>PrefetchDBSummary!$E$63</f>
        <v>30</v>
      </c>
      <c r="E389" s="7" t="s">
        <v>744</v>
      </c>
      <c r="F389" s="19"/>
      <c r="G389" s="4">
        <f>IF(F389&gt;0,F389,IF(PrefetchDBSummary!$C$10="B",AJ389,8))</f>
        <v>8</v>
      </c>
      <c r="H389" s="4">
        <f>PrefetchDBSummary!$C$63</f>
        <v>0</v>
      </c>
      <c r="I389" s="4">
        <f>PrefetchDBSummary!$D$63</f>
        <v>0</v>
      </c>
      <c r="J389" s="5">
        <f t="shared" si="81"/>
        <v>0</v>
      </c>
      <c r="K389" s="4">
        <f t="shared" si="82"/>
        <v>0</v>
      </c>
      <c r="L389" s="4">
        <f t="shared" si="83"/>
        <v>0</v>
      </c>
      <c r="M389" s="5">
        <f t="shared" si="84"/>
        <v>0</v>
      </c>
      <c r="N389" s="17">
        <f t="shared" si="78"/>
        <v>0</v>
      </c>
      <c r="O389" s="32">
        <f t="shared" si="79"/>
        <v>0</v>
      </c>
      <c r="AG389" t="s">
        <v>670</v>
      </c>
      <c r="AH389" t="s">
        <v>583</v>
      </c>
      <c r="AI389">
        <v>1</v>
      </c>
      <c r="AJ389">
        <v>15</v>
      </c>
      <c r="AK389">
        <v>10</v>
      </c>
      <c r="AL389">
        <v>4</v>
      </c>
      <c r="AM389">
        <v>1126</v>
      </c>
      <c r="AN389">
        <v>1310</v>
      </c>
      <c r="AO389">
        <v>1056</v>
      </c>
      <c r="AP389" s="44"/>
      <c r="AQ389" s="27">
        <f t="shared" si="85"/>
        <v>15902.000000000004</v>
      </c>
    </row>
    <row r="390" spans="1:43" ht="12.75">
      <c r="A390" s="1" t="s">
        <v>556</v>
      </c>
      <c r="B390" s="18" t="s">
        <v>67</v>
      </c>
      <c r="C390" t="s">
        <v>65</v>
      </c>
      <c r="D390" s="19">
        <v>6</v>
      </c>
      <c r="E390" s="7" t="s">
        <v>785</v>
      </c>
      <c r="F390" s="19"/>
      <c r="G390" s="4">
        <f>IF(F390&gt;0,F390,IF(PrefetchDBSummary!$C$10="B",AJ390,8))</f>
        <v>8</v>
      </c>
      <c r="H390" s="4">
        <f>PrefetchDBSummary!$C$63</f>
        <v>0</v>
      </c>
      <c r="I390" s="4">
        <f>PrefetchDBSummary!$D$63</f>
        <v>0</v>
      </c>
      <c r="J390" s="5">
        <f t="shared" si="81"/>
        <v>0</v>
      </c>
      <c r="K390" s="4">
        <f t="shared" si="82"/>
        <v>0</v>
      </c>
      <c r="L390" s="4">
        <f t="shared" si="83"/>
        <v>0</v>
      </c>
      <c r="M390" s="5">
        <f t="shared" si="84"/>
        <v>0</v>
      </c>
      <c r="N390" s="17">
        <f t="shared" si="78"/>
        <v>0</v>
      </c>
      <c r="O390" s="32">
        <f t="shared" si="79"/>
        <v>0</v>
      </c>
      <c r="AG390" t="s">
        <v>66</v>
      </c>
      <c r="AH390" t="s">
        <v>583</v>
      </c>
      <c r="AI390">
        <v>5</v>
      </c>
      <c r="AJ390">
        <v>15</v>
      </c>
      <c r="AK390">
        <v>3</v>
      </c>
      <c r="AL390">
        <v>1</v>
      </c>
      <c r="AM390">
        <v>103</v>
      </c>
      <c r="AN390">
        <v>142</v>
      </c>
      <c r="AO390">
        <v>96</v>
      </c>
      <c r="AP390" s="44">
        <v>0.5520833333333333</v>
      </c>
      <c r="AQ390" s="27">
        <f t="shared" si="85"/>
        <v>745</v>
      </c>
    </row>
    <row r="391" spans="1:43" ht="12.75">
      <c r="A391" s="1" t="s">
        <v>556</v>
      </c>
      <c r="B391" s="18" t="s">
        <v>67</v>
      </c>
      <c r="C391" t="s">
        <v>57</v>
      </c>
      <c r="D391" s="19">
        <v>1</v>
      </c>
      <c r="E391" s="7" t="s">
        <v>710</v>
      </c>
      <c r="F391" s="19"/>
      <c r="G391" s="4">
        <f>IF(F391&gt;0,F391,IF(PrefetchDBSummary!$C$10="B",AJ391,8))</f>
        <v>8</v>
      </c>
      <c r="H391" s="4">
        <f>PrefetchDBSummary!$C$63</f>
        <v>0</v>
      </c>
      <c r="I391" s="4">
        <f>PrefetchDBSummary!$D$63</f>
        <v>0</v>
      </c>
      <c r="J391" s="5">
        <f t="shared" si="81"/>
        <v>0</v>
      </c>
      <c r="K391" s="4">
        <f t="shared" si="82"/>
        <v>0</v>
      </c>
      <c r="L391" s="4">
        <f t="shared" si="83"/>
        <v>0</v>
      </c>
      <c r="M391" s="5">
        <f t="shared" si="84"/>
        <v>0</v>
      </c>
      <c r="N391" s="17">
        <f t="shared" si="78"/>
        <v>0</v>
      </c>
      <c r="O391" s="32">
        <f t="shared" si="79"/>
        <v>0</v>
      </c>
      <c r="AG391" t="s">
        <v>58</v>
      </c>
      <c r="AH391" t="s">
        <v>583</v>
      </c>
      <c r="AI391">
        <v>8</v>
      </c>
      <c r="AJ391">
        <v>8</v>
      </c>
      <c r="AK391">
        <v>2</v>
      </c>
      <c r="AL391">
        <v>0</v>
      </c>
      <c r="AM391">
        <v>290</v>
      </c>
      <c r="AN391">
        <v>290</v>
      </c>
      <c r="AO391">
        <v>288</v>
      </c>
      <c r="AP391" s="44">
        <v>0.7222222222222222</v>
      </c>
      <c r="AQ391" s="27">
        <f t="shared" si="85"/>
        <v>393</v>
      </c>
    </row>
    <row r="392" spans="1:43" ht="12.75">
      <c r="A392" s="1" t="s">
        <v>556</v>
      </c>
      <c r="B392" s="18" t="s">
        <v>67</v>
      </c>
      <c r="C392" t="s">
        <v>47</v>
      </c>
      <c r="D392" s="19">
        <v>2</v>
      </c>
      <c r="E392" s="7" t="s">
        <v>724</v>
      </c>
      <c r="F392" s="19"/>
      <c r="G392" s="4">
        <f>IF(F392&gt;0,F392,IF(PrefetchDBSummary!$C$10="B",AJ392,8))</f>
        <v>8</v>
      </c>
      <c r="H392" s="4">
        <f>PrefetchDBSummary!$C$63</f>
        <v>0</v>
      </c>
      <c r="I392" s="4">
        <f>PrefetchDBSummary!$D$63</f>
        <v>0</v>
      </c>
      <c r="J392" s="5">
        <f t="shared" si="81"/>
        <v>0</v>
      </c>
      <c r="K392" s="4">
        <f t="shared" si="82"/>
        <v>0</v>
      </c>
      <c r="L392" s="4">
        <f t="shared" si="83"/>
        <v>0</v>
      </c>
      <c r="M392" s="5">
        <f t="shared" si="84"/>
        <v>0</v>
      </c>
      <c r="N392" s="17">
        <f t="shared" si="78"/>
        <v>0</v>
      </c>
      <c r="O392" s="32">
        <f t="shared" si="79"/>
        <v>0</v>
      </c>
      <c r="AG392" t="s">
        <v>48</v>
      </c>
      <c r="AH392" t="s">
        <v>583</v>
      </c>
      <c r="AI392">
        <v>1</v>
      </c>
      <c r="AJ392">
        <v>15</v>
      </c>
      <c r="AK392">
        <v>8</v>
      </c>
      <c r="AL392">
        <v>4</v>
      </c>
      <c r="AM392">
        <v>236</v>
      </c>
      <c r="AN392">
        <v>392</v>
      </c>
      <c r="AO392">
        <v>196</v>
      </c>
      <c r="AP392" s="44">
        <v>0.5586734693877551</v>
      </c>
      <c r="AQ392" s="27">
        <f t="shared" si="85"/>
        <v>701</v>
      </c>
    </row>
    <row r="393" spans="1:43" ht="12.75">
      <c r="A393" s="18" t="s">
        <v>671</v>
      </c>
      <c r="B393" s="7" t="s">
        <v>684</v>
      </c>
      <c r="C393" t="s">
        <v>676</v>
      </c>
      <c r="D393" s="19">
        <v>0</v>
      </c>
      <c r="E393" s="7" t="s">
        <v>787</v>
      </c>
      <c r="F393" s="19"/>
      <c r="G393" s="4">
        <f>IF(F393&gt;0,F393,IF(PrefetchDBSummary!$C$10="B",AJ393,8))</f>
        <v>8</v>
      </c>
      <c r="H393" s="4">
        <f>PrefetchDBSummary!$C$20</f>
        <v>0</v>
      </c>
      <c r="I393" s="4">
        <f>PrefetchDBSummary!$D$20</f>
        <v>0</v>
      </c>
      <c r="J393" s="5">
        <f t="shared" si="81"/>
        <v>0</v>
      </c>
      <c r="K393" s="4">
        <f t="shared" si="82"/>
        <v>0</v>
      </c>
      <c r="L393" s="4">
        <f t="shared" si="83"/>
        <v>0</v>
      </c>
      <c r="M393" s="5">
        <f t="shared" si="84"/>
        <v>0</v>
      </c>
      <c r="N393" s="17">
        <f t="shared" si="78"/>
        <v>0</v>
      </c>
      <c r="O393" s="32">
        <f t="shared" si="79"/>
        <v>0</v>
      </c>
      <c r="AG393" t="s">
        <v>677</v>
      </c>
      <c r="AH393" t="s">
        <v>583</v>
      </c>
      <c r="AI393">
        <v>1</v>
      </c>
      <c r="AJ393">
        <v>32</v>
      </c>
      <c r="AK393">
        <v>7</v>
      </c>
      <c r="AL393">
        <v>0</v>
      </c>
      <c r="AM393">
        <v>291</v>
      </c>
      <c r="AN393">
        <v>291</v>
      </c>
      <c r="AO393">
        <v>272</v>
      </c>
      <c r="AP393" s="44"/>
      <c r="AQ393" s="27">
        <f t="shared" si="85"/>
        <v>383</v>
      </c>
    </row>
    <row r="394" spans="1:43" ht="12.75">
      <c r="A394" s="18" t="s">
        <v>671</v>
      </c>
      <c r="B394" s="7" t="s">
        <v>684</v>
      </c>
      <c r="C394" t="s">
        <v>1073</v>
      </c>
      <c r="D394" s="19">
        <v>6</v>
      </c>
      <c r="E394" s="13" t="s">
        <v>1272</v>
      </c>
      <c r="F394" s="19"/>
      <c r="G394" s="4">
        <f>IF(F394&gt;0,F394,IF(PrefetchDBSummary!$C$10="B",AJ394,8))</f>
        <v>8</v>
      </c>
      <c r="H394" s="4">
        <f>PrefetchDBSummary!$C$20</f>
        <v>0</v>
      </c>
      <c r="I394" s="4">
        <f>PrefetchDBSummary!$D$20</f>
        <v>0</v>
      </c>
      <c r="J394" s="5">
        <f t="shared" si="81"/>
        <v>0</v>
      </c>
      <c r="K394" s="4">
        <f t="shared" si="82"/>
        <v>0</v>
      </c>
      <c r="L394" s="4">
        <f t="shared" si="83"/>
        <v>0</v>
      </c>
      <c r="M394" s="5">
        <f t="shared" si="84"/>
        <v>0</v>
      </c>
      <c r="N394" s="17">
        <f t="shared" si="78"/>
        <v>0</v>
      </c>
      <c r="O394" s="32">
        <f t="shared" si="79"/>
        <v>0</v>
      </c>
      <c r="AG394" t="s">
        <v>1081</v>
      </c>
      <c r="AH394" t="s">
        <v>583</v>
      </c>
      <c r="AI394">
        <v>1</v>
      </c>
      <c r="AJ394">
        <v>32</v>
      </c>
      <c r="AK394">
        <v>12</v>
      </c>
      <c r="AL394">
        <v>5</v>
      </c>
      <c r="AM394">
        <v>404</v>
      </c>
      <c r="AN394">
        <v>651</v>
      </c>
      <c r="AO394">
        <v>288</v>
      </c>
      <c r="AP394" s="44"/>
      <c r="AQ394" s="27">
        <f t="shared" si="85"/>
        <v>2003.1999999999998</v>
      </c>
    </row>
    <row r="395" spans="1:43" ht="12.75">
      <c r="A395" s="18" t="s">
        <v>671</v>
      </c>
      <c r="B395" s="7" t="s">
        <v>684</v>
      </c>
      <c r="C395" t="s">
        <v>1074</v>
      </c>
      <c r="D395" s="19">
        <v>0</v>
      </c>
      <c r="E395" s="7" t="s">
        <v>787</v>
      </c>
      <c r="F395" s="19"/>
      <c r="G395" s="4">
        <f>IF(F395&gt;0,F395,IF(PrefetchDBSummary!$C$10="B",AJ395,8))</f>
        <v>8</v>
      </c>
      <c r="H395" s="4">
        <f>PrefetchDBSummary!$C$20</f>
        <v>0</v>
      </c>
      <c r="I395" s="4">
        <f>PrefetchDBSummary!$D$20</f>
        <v>0</v>
      </c>
      <c r="J395" s="5">
        <f t="shared" si="81"/>
        <v>0</v>
      </c>
      <c r="K395" s="4">
        <f t="shared" si="82"/>
        <v>0</v>
      </c>
      <c r="L395" s="4">
        <f t="shared" si="83"/>
        <v>0</v>
      </c>
      <c r="M395" s="5">
        <f t="shared" si="84"/>
        <v>0</v>
      </c>
      <c r="N395" s="17">
        <f t="shared" si="78"/>
        <v>0</v>
      </c>
      <c r="O395" s="32">
        <f t="shared" si="79"/>
        <v>0</v>
      </c>
      <c r="AG395" t="s">
        <v>1082</v>
      </c>
      <c r="AH395" t="s">
        <v>583</v>
      </c>
      <c r="AI395">
        <v>3</v>
      </c>
      <c r="AJ395">
        <v>32</v>
      </c>
      <c r="AK395">
        <v>24</v>
      </c>
      <c r="AL395">
        <v>0</v>
      </c>
      <c r="AM395">
        <v>1684</v>
      </c>
      <c r="AN395">
        <v>1684</v>
      </c>
      <c r="AO395">
        <v>1600</v>
      </c>
      <c r="AP395" s="44"/>
      <c r="AQ395" s="27">
        <f t="shared" si="85"/>
        <v>706</v>
      </c>
    </row>
    <row r="396" spans="1:43" ht="12.75">
      <c r="A396" s="18" t="s">
        <v>671</v>
      </c>
      <c r="B396" s="7" t="s">
        <v>684</v>
      </c>
      <c r="C396" t="s">
        <v>674</v>
      </c>
      <c r="D396" s="19">
        <f>D$402/50</f>
        <v>1</v>
      </c>
      <c r="E396" s="7" t="s">
        <v>786</v>
      </c>
      <c r="F396" s="19"/>
      <c r="G396" s="4">
        <f>IF(F396&gt;0,F396,IF(PrefetchDBSummary!$C$10="B",AJ396,8))</f>
        <v>8</v>
      </c>
      <c r="H396" s="4">
        <f>PrefetchDBSummary!$C$20</f>
        <v>0</v>
      </c>
      <c r="I396" s="4">
        <f>PrefetchDBSummary!$D$20</f>
        <v>0</v>
      </c>
      <c r="J396" s="5">
        <f t="shared" si="81"/>
        <v>0</v>
      </c>
      <c r="K396" s="4">
        <f t="shared" si="82"/>
        <v>0</v>
      </c>
      <c r="L396" s="4">
        <f t="shared" si="83"/>
        <v>0</v>
      </c>
      <c r="M396" s="5">
        <f t="shared" si="84"/>
        <v>0</v>
      </c>
      <c r="N396" s="17">
        <f t="shared" si="78"/>
        <v>0</v>
      </c>
      <c r="O396" s="32">
        <f t="shared" si="79"/>
        <v>0</v>
      </c>
      <c r="AG396" t="s">
        <v>675</v>
      </c>
      <c r="AH396" t="s">
        <v>583</v>
      </c>
      <c r="AI396">
        <v>1</v>
      </c>
      <c r="AJ396">
        <v>8</v>
      </c>
      <c r="AK396">
        <v>26</v>
      </c>
      <c r="AL396">
        <v>18</v>
      </c>
      <c r="AM396">
        <v>530</v>
      </c>
      <c r="AN396">
        <v>1400</v>
      </c>
      <c r="AO396">
        <v>244</v>
      </c>
      <c r="AP396" s="44"/>
      <c r="AQ396" s="27">
        <f t="shared" si="85"/>
        <v>1150.6</v>
      </c>
    </row>
    <row r="397" spans="1:43" ht="12.75">
      <c r="A397" s="18" t="s">
        <v>671</v>
      </c>
      <c r="B397" s="7" t="s">
        <v>684</v>
      </c>
      <c r="C397" t="s">
        <v>1075</v>
      </c>
      <c r="D397" s="19">
        <f>PrefetchDBSummary!$E$20*2</f>
        <v>100</v>
      </c>
      <c r="E397" s="7" t="s">
        <v>1275</v>
      </c>
      <c r="F397" s="19"/>
      <c r="G397" s="4">
        <f>IF(F397&gt;0,F397,IF(PrefetchDBSummary!$C$10="B",AJ397,8))</f>
        <v>8</v>
      </c>
      <c r="H397" s="4">
        <f>PrefetchDBSummary!$C$20</f>
        <v>0</v>
      </c>
      <c r="I397" s="4">
        <f>PrefetchDBSummary!$D$20</f>
        <v>0</v>
      </c>
      <c r="J397" s="5">
        <f t="shared" si="81"/>
        <v>0</v>
      </c>
      <c r="K397" s="4">
        <f t="shared" si="82"/>
        <v>0</v>
      </c>
      <c r="L397" s="4">
        <f t="shared" si="83"/>
        <v>0</v>
      </c>
      <c r="M397" s="5">
        <f t="shared" si="84"/>
        <v>0</v>
      </c>
      <c r="N397" s="17">
        <f t="shared" si="78"/>
        <v>0</v>
      </c>
      <c r="O397" s="32">
        <f t="shared" si="79"/>
        <v>0</v>
      </c>
      <c r="AG397" t="s">
        <v>1083</v>
      </c>
      <c r="AH397" t="s">
        <v>583</v>
      </c>
      <c r="AI397">
        <v>1</v>
      </c>
      <c r="AJ397">
        <v>32</v>
      </c>
      <c r="AK397">
        <v>22</v>
      </c>
      <c r="AL397">
        <v>9</v>
      </c>
      <c r="AM397">
        <v>546</v>
      </c>
      <c r="AN397">
        <v>981</v>
      </c>
      <c r="AO397">
        <v>384</v>
      </c>
      <c r="AP397" s="44"/>
      <c r="AQ397" s="27">
        <f t="shared" si="85"/>
        <v>34528</v>
      </c>
    </row>
    <row r="398" spans="1:43" ht="12.75">
      <c r="A398" s="18" t="s">
        <v>671</v>
      </c>
      <c r="B398" s="7" t="s">
        <v>684</v>
      </c>
      <c r="C398" t="s">
        <v>1076</v>
      </c>
      <c r="D398" s="19">
        <f>D402</f>
        <v>50</v>
      </c>
      <c r="E398" s="7" t="s">
        <v>1276</v>
      </c>
      <c r="F398" s="19"/>
      <c r="G398" s="4">
        <f>IF(F398&gt;0,F398,IF(PrefetchDBSummary!$C$10="B",AJ398,8))</f>
        <v>8</v>
      </c>
      <c r="H398" s="4">
        <f>PrefetchDBSummary!$C$20</f>
        <v>0</v>
      </c>
      <c r="I398" s="4">
        <f>PrefetchDBSummary!$D$20</f>
        <v>0</v>
      </c>
      <c r="J398" s="5">
        <f t="shared" si="81"/>
        <v>0</v>
      </c>
      <c r="K398" s="4">
        <f t="shared" si="82"/>
        <v>0</v>
      </c>
      <c r="L398" s="4">
        <f t="shared" si="83"/>
        <v>0</v>
      </c>
      <c r="M398" s="5">
        <f t="shared" si="84"/>
        <v>0</v>
      </c>
      <c r="N398" s="17">
        <f t="shared" si="78"/>
        <v>0</v>
      </c>
      <c r="O398" s="32">
        <f t="shared" si="79"/>
        <v>0</v>
      </c>
      <c r="AG398" t="s">
        <v>1084</v>
      </c>
      <c r="AH398" t="s">
        <v>583</v>
      </c>
      <c r="AI398">
        <v>1</v>
      </c>
      <c r="AJ398">
        <v>32</v>
      </c>
      <c r="AK398">
        <v>15</v>
      </c>
      <c r="AL398">
        <v>8</v>
      </c>
      <c r="AM398">
        <v>351</v>
      </c>
      <c r="AN398">
        <v>711</v>
      </c>
      <c r="AO398">
        <v>224</v>
      </c>
      <c r="AP398" s="44"/>
      <c r="AQ398" s="27">
        <f t="shared" si="85"/>
        <v>12515.000000000002</v>
      </c>
    </row>
    <row r="399" spans="1:43" ht="12.75">
      <c r="A399" s="18" t="s">
        <v>671</v>
      </c>
      <c r="B399" s="7" t="s">
        <v>684</v>
      </c>
      <c r="C399" t="s">
        <v>1077</v>
      </c>
      <c r="D399" s="19">
        <f>D401*64</f>
        <v>64</v>
      </c>
      <c r="E399" s="7" t="s">
        <v>1273</v>
      </c>
      <c r="F399" s="19"/>
      <c r="G399" s="4">
        <f>IF(F399&gt;0,F399,IF(PrefetchDBSummary!$C$10="B",AJ399,8))</f>
        <v>8</v>
      </c>
      <c r="H399" s="4">
        <f>PrefetchDBSummary!$C$20</f>
        <v>0</v>
      </c>
      <c r="I399" s="4">
        <f>PrefetchDBSummary!$D$20</f>
        <v>0</v>
      </c>
      <c r="J399" s="5">
        <f t="shared" si="81"/>
        <v>0</v>
      </c>
      <c r="K399" s="4">
        <f t="shared" si="82"/>
        <v>0</v>
      </c>
      <c r="L399" s="4">
        <f t="shared" si="83"/>
        <v>0</v>
      </c>
      <c r="M399" s="5">
        <f t="shared" si="84"/>
        <v>0</v>
      </c>
      <c r="N399" s="17">
        <f t="shared" si="78"/>
        <v>0</v>
      </c>
      <c r="O399" s="32">
        <f t="shared" si="79"/>
        <v>0</v>
      </c>
      <c r="AG399" t="s">
        <v>1085</v>
      </c>
      <c r="AH399" t="s">
        <v>583</v>
      </c>
      <c r="AI399">
        <v>5</v>
      </c>
      <c r="AJ399">
        <v>14</v>
      </c>
      <c r="AK399">
        <v>11</v>
      </c>
      <c r="AL399">
        <v>1</v>
      </c>
      <c r="AM399">
        <v>563</v>
      </c>
      <c r="AN399">
        <v>602</v>
      </c>
      <c r="AO399">
        <v>528</v>
      </c>
      <c r="AP399" s="44"/>
      <c r="AQ399" s="27">
        <f t="shared" si="85"/>
        <v>17687.800000000003</v>
      </c>
    </row>
    <row r="400" spans="1:43" ht="12.75">
      <c r="A400" s="18" t="s">
        <v>671</v>
      </c>
      <c r="B400" s="7" t="s">
        <v>684</v>
      </c>
      <c r="C400" t="s">
        <v>678</v>
      </c>
      <c r="D400" s="19">
        <f>D$402/50</f>
        <v>1</v>
      </c>
      <c r="E400" s="7" t="s">
        <v>788</v>
      </c>
      <c r="F400" s="19"/>
      <c r="G400" s="4">
        <f>IF(F400&gt;0,F400,IF(PrefetchDBSummary!$C$10="B",AJ400,8))</f>
        <v>8</v>
      </c>
      <c r="H400" s="4">
        <f>PrefetchDBSummary!$C$20</f>
        <v>0</v>
      </c>
      <c r="I400" s="4">
        <f>PrefetchDBSummary!$D$20</f>
        <v>0</v>
      </c>
      <c r="J400" s="5">
        <f t="shared" si="81"/>
        <v>0</v>
      </c>
      <c r="K400" s="4">
        <f t="shared" si="82"/>
        <v>0</v>
      </c>
      <c r="L400" s="4">
        <f t="shared" si="83"/>
        <v>0</v>
      </c>
      <c r="M400" s="5">
        <f t="shared" si="84"/>
        <v>0</v>
      </c>
      <c r="N400" s="17">
        <f t="shared" si="78"/>
        <v>0</v>
      </c>
      <c r="O400" s="32">
        <f t="shared" si="79"/>
        <v>0</v>
      </c>
      <c r="AG400" t="s">
        <v>679</v>
      </c>
      <c r="AH400" t="s">
        <v>583</v>
      </c>
      <c r="AI400">
        <v>1</v>
      </c>
      <c r="AJ400">
        <v>32</v>
      </c>
      <c r="AK400">
        <v>14</v>
      </c>
      <c r="AL400">
        <v>4</v>
      </c>
      <c r="AM400">
        <v>588</v>
      </c>
      <c r="AN400">
        <v>792</v>
      </c>
      <c r="AO400">
        <v>464</v>
      </c>
      <c r="AP400" s="44"/>
      <c r="AQ400" s="27">
        <f t="shared" si="85"/>
        <v>848.6</v>
      </c>
    </row>
    <row r="401" spans="1:43" ht="12.75">
      <c r="A401" s="18" t="s">
        <v>671</v>
      </c>
      <c r="B401" s="7" t="s">
        <v>684</v>
      </c>
      <c r="C401" t="s">
        <v>680</v>
      </c>
      <c r="D401" s="19">
        <f>D$402/50</f>
        <v>1</v>
      </c>
      <c r="E401" s="7" t="s">
        <v>789</v>
      </c>
      <c r="F401" s="19"/>
      <c r="G401" s="4">
        <f>IF(F401&gt;0,F401,IF(PrefetchDBSummary!$C$10="B",AJ401,8))</f>
        <v>8</v>
      </c>
      <c r="H401" s="4">
        <f>PrefetchDBSummary!$C$20</f>
        <v>0</v>
      </c>
      <c r="I401" s="4">
        <f>PrefetchDBSummary!$D$20</f>
        <v>0</v>
      </c>
      <c r="J401" s="5">
        <f t="shared" si="81"/>
        <v>0</v>
      </c>
      <c r="K401" s="4">
        <f t="shared" si="82"/>
        <v>0</v>
      </c>
      <c r="L401" s="4">
        <f t="shared" si="83"/>
        <v>0</v>
      </c>
      <c r="M401" s="5">
        <f t="shared" si="84"/>
        <v>0</v>
      </c>
      <c r="N401" s="17">
        <f t="shared" si="78"/>
        <v>0</v>
      </c>
      <c r="O401" s="32">
        <f t="shared" si="79"/>
        <v>0</v>
      </c>
      <c r="AG401" t="s">
        <v>681</v>
      </c>
      <c r="AH401" t="s">
        <v>583</v>
      </c>
      <c r="AI401">
        <v>1</v>
      </c>
      <c r="AJ401">
        <v>32</v>
      </c>
      <c r="AK401">
        <v>10</v>
      </c>
      <c r="AL401">
        <v>4</v>
      </c>
      <c r="AM401">
        <v>278</v>
      </c>
      <c r="AN401">
        <v>470</v>
      </c>
      <c r="AO401">
        <v>212</v>
      </c>
      <c r="AP401" s="44"/>
      <c r="AQ401" s="27">
        <f t="shared" si="85"/>
        <v>613.8</v>
      </c>
    </row>
    <row r="402" spans="1:43" ht="12.75">
      <c r="A402" s="18" t="s">
        <v>671</v>
      </c>
      <c r="B402" s="7" t="s">
        <v>684</v>
      </c>
      <c r="C402" t="s">
        <v>682</v>
      </c>
      <c r="D402" s="60">
        <f>PrefetchDBSummary!$E$20</f>
        <v>50</v>
      </c>
      <c r="E402" s="7" t="s">
        <v>790</v>
      </c>
      <c r="F402" s="19"/>
      <c r="G402" s="4">
        <f>IF(F402&gt;0,F402,IF(PrefetchDBSummary!$C$10="B",AJ402,8))</f>
        <v>8</v>
      </c>
      <c r="H402" s="4">
        <f>PrefetchDBSummary!$C$20</f>
        <v>0</v>
      </c>
      <c r="I402" s="4">
        <f>PrefetchDBSummary!$D$20</f>
        <v>0</v>
      </c>
      <c r="J402" s="5">
        <f t="shared" si="81"/>
        <v>0</v>
      </c>
      <c r="K402" s="4">
        <f t="shared" si="82"/>
        <v>0</v>
      </c>
      <c r="L402" s="4">
        <f t="shared" si="83"/>
        <v>0</v>
      </c>
      <c r="M402" s="5">
        <f t="shared" si="84"/>
        <v>0</v>
      </c>
      <c r="N402" s="17">
        <f t="shared" si="78"/>
        <v>0</v>
      </c>
      <c r="O402" s="32">
        <f t="shared" si="79"/>
        <v>0</v>
      </c>
      <c r="AG402" t="s">
        <v>683</v>
      </c>
      <c r="AH402" t="s">
        <v>583</v>
      </c>
      <c r="AI402">
        <v>1</v>
      </c>
      <c r="AJ402">
        <v>32</v>
      </c>
      <c r="AK402">
        <v>25</v>
      </c>
      <c r="AL402">
        <v>7</v>
      </c>
      <c r="AM402">
        <v>889</v>
      </c>
      <c r="AN402">
        <v>1246</v>
      </c>
      <c r="AO402">
        <v>712</v>
      </c>
      <c r="AP402" s="44"/>
      <c r="AQ402" s="27">
        <f t="shared" si="85"/>
        <v>24965</v>
      </c>
    </row>
    <row r="403" spans="1:43" ht="12.75">
      <c r="A403" s="18" t="s">
        <v>671</v>
      </c>
      <c r="B403" s="7" t="s">
        <v>684</v>
      </c>
      <c r="C403" t="s">
        <v>1078</v>
      </c>
      <c r="D403" s="19">
        <f>D401*4</f>
        <v>4</v>
      </c>
      <c r="E403" s="7" t="s">
        <v>1277</v>
      </c>
      <c r="F403" s="19"/>
      <c r="G403" s="4">
        <f>IF(F403&gt;0,F403,IF(PrefetchDBSummary!$C$10="B",AJ403,8))</f>
        <v>8</v>
      </c>
      <c r="H403" s="4">
        <f>PrefetchDBSummary!$C$20</f>
        <v>0</v>
      </c>
      <c r="I403" s="4">
        <f>PrefetchDBSummary!$D$20</f>
        <v>0</v>
      </c>
      <c r="J403" s="5">
        <f t="shared" si="81"/>
        <v>0</v>
      </c>
      <c r="K403" s="4">
        <f t="shared" si="82"/>
        <v>0</v>
      </c>
      <c r="L403" s="4">
        <f t="shared" si="83"/>
        <v>0</v>
      </c>
      <c r="M403" s="5">
        <f t="shared" si="84"/>
        <v>0</v>
      </c>
      <c r="N403" s="17">
        <f t="shared" si="78"/>
        <v>0</v>
      </c>
      <c r="O403" s="32">
        <f t="shared" si="79"/>
        <v>0</v>
      </c>
      <c r="AG403" t="s">
        <v>1086</v>
      </c>
      <c r="AH403" t="s">
        <v>583</v>
      </c>
      <c r="AI403">
        <v>5</v>
      </c>
      <c r="AJ403">
        <v>14</v>
      </c>
      <c r="AK403">
        <v>14</v>
      </c>
      <c r="AL403">
        <v>1</v>
      </c>
      <c r="AM403">
        <v>838</v>
      </c>
      <c r="AN403">
        <v>877</v>
      </c>
      <c r="AO403">
        <v>768</v>
      </c>
      <c r="AP403" s="44"/>
      <c r="AQ403" s="27">
        <f t="shared" si="85"/>
        <v>2116.8</v>
      </c>
    </row>
    <row r="404" spans="1:43" ht="12.75">
      <c r="A404" s="18" t="s">
        <v>671</v>
      </c>
      <c r="B404" s="7" t="s">
        <v>684</v>
      </c>
      <c r="C404" t="s">
        <v>1079</v>
      </c>
      <c r="D404" s="19">
        <f>D402</f>
        <v>50</v>
      </c>
      <c r="E404" s="7" t="s">
        <v>1278</v>
      </c>
      <c r="F404" s="19"/>
      <c r="G404" s="4">
        <f>IF(F404&gt;0,F404,IF(PrefetchDBSummary!$C$10="B",AJ404,8))</f>
        <v>8</v>
      </c>
      <c r="H404" s="4">
        <f>PrefetchDBSummary!$C$20</f>
        <v>0</v>
      </c>
      <c r="I404" s="4">
        <f>PrefetchDBSummary!$D$20</f>
        <v>0</v>
      </c>
      <c r="J404" s="5">
        <f t="shared" si="81"/>
        <v>0</v>
      </c>
      <c r="K404" s="4">
        <f t="shared" si="82"/>
        <v>0</v>
      </c>
      <c r="L404" s="4">
        <f t="shared" si="83"/>
        <v>0</v>
      </c>
      <c r="M404" s="5">
        <f t="shared" si="84"/>
        <v>0</v>
      </c>
      <c r="N404" s="17">
        <f t="shared" si="78"/>
        <v>0</v>
      </c>
      <c r="O404" s="32">
        <f t="shared" si="79"/>
        <v>0</v>
      </c>
      <c r="AG404" t="s">
        <v>1087</v>
      </c>
      <c r="AH404" t="s">
        <v>583</v>
      </c>
      <c r="AI404">
        <v>1</v>
      </c>
      <c r="AJ404">
        <v>32</v>
      </c>
      <c r="AK404">
        <v>19</v>
      </c>
      <c r="AL404">
        <v>7</v>
      </c>
      <c r="AM404">
        <v>1099</v>
      </c>
      <c r="AN404">
        <v>1432</v>
      </c>
      <c r="AO404">
        <v>968</v>
      </c>
      <c r="AP404" s="44"/>
      <c r="AQ404" s="27">
        <f t="shared" si="85"/>
        <v>27671.000000000004</v>
      </c>
    </row>
    <row r="405" spans="1:43" ht="12.75">
      <c r="A405" s="18" t="s">
        <v>671</v>
      </c>
      <c r="B405" s="7" t="s">
        <v>684</v>
      </c>
      <c r="C405" t="s">
        <v>672</v>
      </c>
      <c r="D405" s="19">
        <v>1</v>
      </c>
      <c r="E405" s="7" t="str">
        <f>IF(AH405="S","Always one row per interval","")</f>
        <v>Always one row per interval</v>
      </c>
      <c r="F405" s="19"/>
      <c r="G405" s="4">
        <f>IF(F405&gt;0,F405,IF(PrefetchDBSummary!$C$10="B",AJ405,8))</f>
        <v>8</v>
      </c>
      <c r="H405" s="4">
        <f>PrefetchDBSummary!$C$20</f>
        <v>0</v>
      </c>
      <c r="I405" s="4">
        <f>PrefetchDBSummary!$D$20</f>
        <v>0</v>
      </c>
      <c r="J405" s="5">
        <f t="shared" si="81"/>
        <v>0</v>
      </c>
      <c r="K405" s="4">
        <f t="shared" si="82"/>
        <v>0</v>
      </c>
      <c r="L405" s="4">
        <f t="shared" si="83"/>
        <v>0</v>
      </c>
      <c r="M405" s="5">
        <f t="shared" si="84"/>
        <v>0</v>
      </c>
      <c r="N405" s="17">
        <f t="shared" si="78"/>
        <v>0</v>
      </c>
      <c r="O405" s="32">
        <f t="shared" si="79"/>
        <v>0</v>
      </c>
      <c r="AG405" t="s">
        <v>673</v>
      </c>
      <c r="AH405" t="s">
        <v>582</v>
      </c>
      <c r="AI405">
        <v>5</v>
      </c>
      <c r="AJ405">
        <v>8</v>
      </c>
      <c r="AK405">
        <v>7</v>
      </c>
      <c r="AL405">
        <v>0</v>
      </c>
      <c r="AM405">
        <v>305</v>
      </c>
      <c r="AN405">
        <v>305</v>
      </c>
      <c r="AO405">
        <v>298</v>
      </c>
      <c r="AP405" s="44"/>
      <c r="AQ405" s="27">
        <f t="shared" si="85"/>
        <v>532.2</v>
      </c>
    </row>
    <row r="406" spans="1:43" ht="12.75">
      <c r="A406" s="18" t="s">
        <v>671</v>
      </c>
      <c r="B406" s="7" t="s">
        <v>684</v>
      </c>
      <c r="C406" t="s">
        <v>1080</v>
      </c>
      <c r="D406" s="19">
        <f>D401*4</f>
        <v>4</v>
      </c>
      <c r="E406" s="7" t="s">
        <v>1279</v>
      </c>
      <c r="F406" s="19"/>
      <c r="G406" s="4">
        <f>IF(F406&gt;0,F406,IF(PrefetchDBSummary!$C$10="B",AJ406,8))</f>
        <v>8</v>
      </c>
      <c r="H406" s="4">
        <f>PrefetchDBSummary!$C$20</f>
        <v>0</v>
      </c>
      <c r="I406" s="4">
        <f>PrefetchDBSummary!$D$20</f>
        <v>0</v>
      </c>
      <c r="J406" s="5">
        <f t="shared" si="81"/>
        <v>0</v>
      </c>
      <c r="K406" s="4">
        <f t="shared" si="82"/>
        <v>0</v>
      </c>
      <c r="L406" s="4">
        <f t="shared" si="83"/>
        <v>0</v>
      </c>
      <c r="M406" s="5">
        <f t="shared" si="84"/>
        <v>0</v>
      </c>
      <c r="N406" s="17">
        <f t="shared" si="78"/>
        <v>0</v>
      </c>
      <c r="O406" s="32">
        <f t="shared" si="79"/>
        <v>0</v>
      </c>
      <c r="AG406" t="s">
        <v>1088</v>
      </c>
      <c r="AH406" t="s">
        <v>583</v>
      </c>
      <c r="AI406">
        <v>5</v>
      </c>
      <c r="AJ406">
        <v>32</v>
      </c>
      <c r="AK406">
        <v>32</v>
      </c>
      <c r="AL406">
        <v>15</v>
      </c>
      <c r="AM406">
        <v>1464</v>
      </c>
      <c r="AN406">
        <v>2097</v>
      </c>
      <c r="AO406">
        <v>1296</v>
      </c>
      <c r="AP406" s="44"/>
      <c r="AQ406" s="27">
        <f t="shared" si="85"/>
        <v>3695.6</v>
      </c>
    </row>
    <row r="407" spans="1:43" ht="12.75">
      <c r="A407" s="1" t="s">
        <v>557</v>
      </c>
      <c r="B407" s="18" t="s">
        <v>101</v>
      </c>
      <c r="C407" t="s">
        <v>107</v>
      </c>
      <c r="D407" s="19">
        <v>14</v>
      </c>
      <c r="E407" s="7" t="s">
        <v>791</v>
      </c>
      <c r="F407" s="19"/>
      <c r="G407" s="4">
        <f>IF(F407&gt;0,F407,IF(PrefetchDBSummary!$C$10="B",AJ407,8))</f>
        <v>8</v>
      </c>
      <c r="H407" s="4">
        <f>PrefetchDBSummary!$C$51</f>
        <v>0</v>
      </c>
      <c r="I407" s="4">
        <f>PrefetchDBSummary!$D$51</f>
        <v>0</v>
      </c>
      <c r="J407" s="5">
        <f t="shared" si="81"/>
        <v>0</v>
      </c>
      <c r="K407" s="4">
        <f t="shared" si="82"/>
        <v>0</v>
      </c>
      <c r="L407" s="4">
        <f t="shared" si="83"/>
        <v>0</v>
      </c>
      <c r="M407" s="5">
        <f t="shared" si="84"/>
        <v>0</v>
      </c>
      <c r="N407" s="17">
        <f t="shared" si="78"/>
        <v>0</v>
      </c>
      <c r="O407" s="32">
        <f t="shared" si="79"/>
        <v>0</v>
      </c>
      <c r="AG407" t="s">
        <v>108</v>
      </c>
      <c r="AH407" t="s">
        <v>583</v>
      </c>
      <c r="AI407">
        <v>1</v>
      </c>
      <c r="AJ407">
        <v>32</v>
      </c>
      <c r="AK407">
        <v>7</v>
      </c>
      <c r="AL407">
        <v>3</v>
      </c>
      <c r="AM407">
        <v>415</v>
      </c>
      <c r="AN407">
        <v>544</v>
      </c>
      <c r="AO407">
        <v>352</v>
      </c>
      <c r="AP407" s="44">
        <v>0.8419237012987013</v>
      </c>
      <c r="AQ407" s="27">
        <f t="shared" si="85"/>
        <v>2366</v>
      </c>
    </row>
    <row r="408" spans="1:43" ht="12.75">
      <c r="A408" s="1" t="s">
        <v>557</v>
      </c>
      <c r="B408" s="18" t="s">
        <v>101</v>
      </c>
      <c r="C408" t="s">
        <v>113</v>
      </c>
      <c r="D408" s="19">
        <v>1</v>
      </c>
      <c r="E408" s="7" t="s">
        <v>728</v>
      </c>
      <c r="F408" s="19"/>
      <c r="G408" s="4">
        <f>IF(F408&gt;0,F408,IF(PrefetchDBSummary!$C$10="B",AJ408,8))</f>
        <v>8</v>
      </c>
      <c r="H408" s="4">
        <f>PrefetchDBSummary!$C$51</f>
        <v>0</v>
      </c>
      <c r="I408" s="4">
        <f>PrefetchDBSummary!$D$51</f>
        <v>0</v>
      </c>
      <c r="J408" s="5">
        <f t="shared" si="81"/>
        <v>0</v>
      </c>
      <c r="K408" s="4">
        <f t="shared" si="82"/>
        <v>0</v>
      </c>
      <c r="L408" s="4">
        <f t="shared" si="83"/>
        <v>0</v>
      </c>
      <c r="M408" s="5">
        <f t="shared" si="84"/>
        <v>0</v>
      </c>
      <c r="N408" s="17">
        <f t="shared" si="78"/>
        <v>0</v>
      </c>
      <c r="O408" s="32">
        <f t="shared" si="79"/>
        <v>0</v>
      </c>
      <c r="AG408" t="s">
        <v>114</v>
      </c>
      <c r="AH408" t="s">
        <v>583</v>
      </c>
      <c r="AI408">
        <v>60</v>
      </c>
      <c r="AJ408">
        <v>8</v>
      </c>
      <c r="AK408">
        <v>6</v>
      </c>
      <c r="AL408">
        <v>0</v>
      </c>
      <c r="AM408">
        <v>490</v>
      </c>
      <c r="AN408">
        <v>490</v>
      </c>
      <c r="AO408">
        <v>480</v>
      </c>
      <c r="AP408" s="44">
        <v>0.7833333333333333</v>
      </c>
      <c r="AQ408" s="27">
        <f t="shared" si="85"/>
        <v>501</v>
      </c>
    </row>
    <row r="409" spans="1:43" ht="12.75">
      <c r="A409" s="1" t="s">
        <v>557</v>
      </c>
      <c r="B409" s="18" t="s">
        <v>101</v>
      </c>
      <c r="C409" t="s">
        <v>109</v>
      </c>
      <c r="D409" s="19">
        <v>1</v>
      </c>
      <c r="E409" s="7" t="s">
        <v>792</v>
      </c>
      <c r="F409" s="19"/>
      <c r="G409" s="4">
        <f>IF(F409&gt;0,F409,IF(PrefetchDBSummary!$C$10="B",AJ409,8))</f>
        <v>8</v>
      </c>
      <c r="H409" s="4">
        <f>PrefetchDBSummary!$C$51</f>
        <v>0</v>
      </c>
      <c r="I409" s="4">
        <f>PrefetchDBSummary!$D$51</f>
        <v>0</v>
      </c>
      <c r="J409" s="5">
        <f t="shared" si="81"/>
        <v>0</v>
      </c>
      <c r="K409" s="4">
        <f t="shared" si="82"/>
        <v>0</v>
      </c>
      <c r="L409" s="4">
        <f t="shared" si="83"/>
        <v>0</v>
      </c>
      <c r="M409" s="5">
        <f t="shared" si="84"/>
        <v>0</v>
      </c>
      <c r="N409" s="17">
        <f t="shared" si="78"/>
        <v>0</v>
      </c>
      <c r="O409" s="32">
        <f t="shared" si="79"/>
        <v>0</v>
      </c>
      <c r="AG409" t="s">
        <v>110</v>
      </c>
      <c r="AH409" t="s">
        <v>583</v>
      </c>
      <c r="AI409">
        <v>1</v>
      </c>
      <c r="AJ409">
        <v>32</v>
      </c>
      <c r="AK409">
        <v>12</v>
      </c>
      <c r="AL409">
        <v>7</v>
      </c>
      <c r="AM409">
        <v>232</v>
      </c>
      <c r="AN409">
        <v>505</v>
      </c>
      <c r="AO409">
        <v>120</v>
      </c>
      <c r="AP409" s="44">
        <v>0.5833333333333333</v>
      </c>
      <c r="AQ409" s="27">
        <f t="shared" si="85"/>
        <v>663</v>
      </c>
    </row>
    <row r="410" spans="1:43" ht="12.75">
      <c r="A410" s="1" t="s">
        <v>557</v>
      </c>
      <c r="B410" s="18" t="s">
        <v>101</v>
      </c>
      <c r="C410" t="s">
        <v>111</v>
      </c>
      <c r="D410" s="19">
        <v>14</v>
      </c>
      <c r="E410" s="7" t="s">
        <v>793</v>
      </c>
      <c r="F410" s="19"/>
      <c r="G410" s="4">
        <f>IF(F410&gt;0,F410,IF(PrefetchDBSummary!$C$10="B",AJ410,8))</f>
        <v>8</v>
      </c>
      <c r="H410" s="4">
        <f>PrefetchDBSummary!$C$51</f>
        <v>0</v>
      </c>
      <c r="I410" s="4">
        <f>PrefetchDBSummary!$D$51</f>
        <v>0</v>
      </c>
      <c r="J410" s="5">
        <f t="shared" si="81"/>
        <v>0</v>
      </c>
      <c r="K410" s="4">
        <f t="shared" si="82"/>
        <v>0</v>
      </c>
      <c r="L410" s="4">
        <f t="shared" si="83"/>
        <v>0</v>
      </c>
      <c r="M410" s="5">
        <f t="shared" si="84"/>
        <v>0</v>
      </c>
      <c r="N410" s="17">
        <f t="shared" si="78"/>
        <v>0</v>
      </c>
      <c r="O410" s="32">
        <f t="shared" si="79"/>
        <v>0</v>
      </c>
      <c r="AG410" t="s">
        <v>112</v>
      </c>
      <c r="AH410" t="s">
        <v>583</v>
      </c>
      <c r="AI410">
        <v>1</v>
      </c>
      <c r="AJ410">
        <v>32</v>
      </c>
      <c r="AK410">
        <v>3</v>
      </c>
      <c r="AL410">
        <v>0</v>
      </c>
      <c r="AM410">
        <v>131</v>
      </c>
      <c r="AN410">
        <v>131</v>
      </c>
      <c r="AO410">
        <v>128</v>
      </c>
      <c r="AP410" s="44">
        <v>0.5859375</v>
      </c>
      <c r="AQ410" s="27">
        <f t="shared" si="85"/>
        <v>1413</v>
      </c>
    </row>
    <row r="411" spans="1:43" ht="12.75">
      <c r="A411" s="1" t="s">
        <v>557</v>
      </c>
      <c r="B411" s="18" t="s">
        <v>101</v>
      </c>
      <c r="C411" t="s">
        <v>105</v>
      </c>
      <c r="D411" s="19">
        <v>1</v>
      </c>
      <c r="E411" s="7" t="s">
        <v>791</v>
      </c>
      <c r="F411" s="19"/>
      <c r="G411" s="4">
        <f>IF(F411&gt;0,F411,IF(PrefetchDBSummary!$C$10="B",AJ411,8))</f>
        <v>8</v>
      </c>
      <c r="H411" s="4">
        <f>PrefetchDBSummary!$C$51</f>
        <v>0</v>
      </c>
      <c r="I411" s="4">
        <f>PrefetchDBSummary!$D$51</f>
        <v>0</v>
      </c>
      <c r="J411" s="5">
        <f t="shared" si="81"/>
        <v>0</v>
      </c>
      <c r="K411" s="4">
        <f t="shared" si="82"/>
        <v>0</v>
      </c>
      <c r="L411" s="4">
        <f t="shared" si="83"/>
        <v>0</v>
      </c>
      <c r="M411" s="5">
        <f t="shared" si="84"/>
        <v>0</v>
      </c>
      <c r="N411" s="17">
        <f t="shared" si="78"/>
        <v>0</v>
      </c>
      <c r="O411" s="32">
        <f t="shared" si="79"/>
        <v>0</v>
      </c>
      <c r="AG411" t="s">
        <v>106</v>
      </c>
      <c r="AH411" t="s">
        <v>583</v>
      </c>
      <c r="AI411">
        <v>1</v>
      </c>
      <c r="AJ411">
        <v>32</v>
      </c>
      <c r="AK411">
        <v>5</v>
      </c>
      <c r="AL411">
        <v>2</v>
      </c>
      <c r="AM411">
        <v>185</v>
      </c>
      <c r="AN411">
        <v>251</v>
      </c>
      <c r="AO411">
        <v>160</v>
      </c>
      <c r="AP411" s="44">
        <v>0.4375</v>
      </c>
      <c r="AQ411" s="27">
        <f t="shared" si="85"/>
        <v>483</v>
      </c>
    </row>
    <row r="412" spans="1:43" ht="12.75">
      <c r="A412" s="1" t="s">
        <v>557</v>
      </c>
      <c r="B412" s="18" t="s">
        <v>101</v>
      </c>
      <c r="C412" t="s">
        <v>103</v>
      </c>
      <c r="D412" s="19">
        <v>1</v>
      </c>
      <c r="E412" s="7" t="s">
        <v>791</v>
      </c>
      <c r="F412" s="19"/>
      <c r="G412" s="4">
        <f>IF(F412&gt;0,F412,IF(PrefetchDBSummary!$C$10="B",AJ412,8))</f>
        <v>8</v>
      </c>
      <c r="H412" s="4">
        <f>PrefetchDBSummary!$C$51</f>
        <v>0</v>
      </c>
      <c r="I412" s="4">
        <f>PrefetchDBSummary!$D$51</f>
        <v>0</v>
      </c>
      <c r="J412" s="5">
        <f t="shared" si="81"/>
        <v>0</v>
      </c>
      <c r="K412" s="4">
        <f t="shared" si="82"/>
        <v>0</v>
      </c>
      <c r="L412" s="4">
        <f t="shared" si="83"/>
        <v>0</v>
      </c>
      <c r="M412" s="5">
        <f t="shared" si="84"/>
        <v>0</v>
      </c>
      <c r="N412" s="17">
        <f t="shared" si="78"/>
        <v>0</v>
      </c>
      <c r="O412" s="32">
        <f t="shared" si="79"/>
        <v>0</v>
      </c>
      <c r="AG412" t="s">
        <v>104</v>
      </c>
      <c r="AH412" t="s">
        <v>583</v>
      </c>
      <c r="AI412">
        <v>1</v>
      </c>
      <c r="AJ412">
        <v>32</v>
      </c>
      <c r="AK412">
        <v>10</v>
      </c>
      <c r="AL412">
        <v>8</v>
      </c>
      <c r="AM412">
        <v>138</v>
      </c>
      <c r="AN412">
        <v>282</v>
      </c>
      <c r="AO412">
        <v>96</v>
      </c>
      <c r="AP412" s="44">
        <v>0</v>
      </c>
      <c r="AQ412" s="27">
        <f t="shared" si="85"/>
        <v>543.4</v>
      </c>
    </row>
    <row r="413" spans="1:43" ht="12.75">
      <c r="A413" s="1" t="s">
        <v>558</v>
      </c>
      <c r="B413" s="18" t="s">
        <v>102</v>
      </c>
      <c r="C413" t="s">
        <v>117</v>
      </c>
      <c r="D413" s="19">
        <v>1</v>
      </c>
      <c r="E413" s="7" t="s">
        <v>710</v>
      </c>
      <c r="F413" s="19"/>
      <c r="G413" s="4">
        <f>IF(F413&gt;0,F413,IF(PrefetchDBSummary!$C$10="B",AJ413,8))</f>
        <v>8</v>
      </c>
      <c r="H413" s="4">
        <f>PrefetchDBSummary!$C$52</f>
        <v>0</v>
      </c>
      <c r="I413" s="4">
        <f>PrefetchDBSummary!$D$52</f>
        <v>0</v>
      </c>
      <c r="J413" s="5">
        <f t="shared" si="81"/>
        <v>0</v>
      </c>
      <c r="K413" s="4">
        <f t="shared" si="82"/>
        <v>0</v>
      </c>
      <c r="L413" s="4">
        <f t="shared" si="83"/>
        <v>0</v>
      </c>
      <c r="M413" s="5">
        <f t="shared" si="84"/>
        <v>0</v>
      </c>
      <c r="N413" s="17">
        <f t="shared" si="78"/>
        <v>0</v>
      </c>
      <c r="O413" s="32">
        <f t="shared" si="79"/>
        <v>0</v>
      </c>
      <c r="AG413" t="s">
        <v>118</v>
      </c>
      <c r="AH413" t="s">
        <v>583</v>
      </c>
      <c r="AI413">
        <v>5</v>
      </c>
      <c r="AJ413">
        <v>15</v>
      </c>
      <c r="AK413">
        <v>2</v>
      </c>
      <c r="AL413">
        <v>0</v>
      </c>
      <c r="AM413">
        <v>42</v>
      </c>
      <c r="AN413">
        <v>42</v>
      </c>
      <c r="AO413">
        <v>32</v>
      </c>
      <c r="AP413" s="44">
        <v>0</v>
      </c>
      <c r="AQ413" s="27">
        <f t="shared" si="85"/>
        <v>333.8</v>
      </c>
    </row>
    <row r="414" spans="1:43" ht="12.75">
      <c r="A414" s="1" t="s">
        <v>558</v>
      </c>
      <c r="B414" s="18" t="s">
        <v>102</v>
      </c>
      <c r="C414" t="s">
        <v>125</v>
      </c>
      <c r="D414" s="19">
        <v>2</v>
      </c>
      <c r="E414" s="7" t="s">
        <v>794</v>
      </c>
      <c r="F414" s="19"/>
      <c r="G414" s="4">
        <f>IF(F414&gt;0,F414,IF(PrefetchDBSummary!$C$10="B",AJ414,8))</f>
        <v>8</v>
      </c>
      <c r="H414" s="4">
        <f>PrefetchDBSummary!$C$52</f>
        <v>0</v>
      </c>
      <c r="I414" s="4">
        <f>PrefetchDBSummary!$D$52</f>
        <v>0</v>
      </c>
      <c r="J414" s="5">
        <f t="shared" si="81"/>
        <v>0</v>
      </c>
      <c r="K414" s="4">
        <f t="shared" si="82"/>
        <v>0</v>
      </c>
      <c r="L414" s="4">
        <f t="shared" si="83"/>
        <v>0</v>
      </c>
      <c r="M414" s="5">
        <f t="shared" si="84"/>
        <v>0</v>
      </c>
      <c r="N414" s="17">
        <f t="shared" si="78"/>
        <v>0</v>
      </c>
      <c r="O414" s="32">
        <f t="shared" si="79"/>
        <v>0</v>
      </c>
      <c r="AG414" t="s">
        <v>126</v>
      </c>
      <c r="AH414" t="s">
        <v>583</v>
      </c>
      <c r="AI414">
        <v>1</v>
      </c>
      <c r="AJ414">
        <v>15</v>
      </c>
      <c r="AK414">
        <v>7</v>
      </c>
      <c r="AL414">
        <v>1</v>
      </c>
      <c r="AM414">
        <v>191</v>
      </c>
      <c r="AN414">
        <v>234</v>
      </c>
      <c r="AO414">
        <v>160</v>
      </c>
      <c r="AP414" s="44">
        <v>0.64375</v>
      </c>
      <c r="AQ414" s="27">
        <f t="shared" si="85"/>
        <v>605</v>
      </c>
    </row>
    <row r="415" spans="1:43" ht="12.75">
      <c r="A415" s="1" t="s">
        <v>558</v>
      </c>
      <c r="B415" s="18" t="s">
        <v>102</v>
      </c>
      <c r="C415" t="s">
        <v>115</v>
      </c>
      <c r="D415" s="19">
        <v>5</v>
      </c>
      <c r="E415" s="7" t="s">
        <v>747</v>
      </c>
      <c r="F415" s="19"/>
      <c r="G415" s="4">
        <f>IF(F415&gt;0,F415,IF(PrefetchDBSummary!$C$10="B",AJ415,8))</f>
        <v>8</v>
      </c>
      <c r="H415" s="4">
        <f>PrefetchDBSummary!$C$52</f>
        <v>0</v>
      </c>
      <c r="I415" s="4">
        <f>PrefetchDBSummary!$D$52</f>
        <v>0</v>
      </c>
      <c r="J415" s="5">
        <f t="shared" si="81"/>
        <v>0</v>
      </c>
      <c r="K415" s="4">
        <f t="shared" si="82"/>
        <v>0</v>
      </c>
      <c r="L415" s="4">
        <f t="shared" si="83"/>
        <v>0</v>
      </c>
      <c r="M415" s="5">
        <f t="shared" si="84"/>
        <v>0</v>
      </c>
      <c r="N415" s="17">
        <f t="shared" si="78"/>
        <v>0</v>
      </c>
      <c r="O415" s="32">
        <f t="shared" si="79"/>
        <v>0</v>
      </c>
      <c r="AG415" t="s">
        <v>116</v>
      </c>
      <c r="AH415" t="s">
        <v>583</v>
      </c>
      <c r="AI415">
        <v>5</v>
      </c>
      <c r="AJ415">
        <v>15</v>
      </c>
      <c r="AK415">
        <v>5</v>
      </c>
      <c r="AL415">
        <v>2</v>
      </c>
      <c r="AM415">
        <v>201</v>
      </c>
      <c r="AN415">
        <v>291</v>
      </c>
      <c r="AO415">
        <v>160</v>
      </c>
      <c r="AP415" s="44">
        <v>0.8075</v>
      </c>
      <c r="AQ415" s="27">
        <f t="shared" si="85"/>
        <v>819</v>
      </c>
    </row>
    <row r="416" spans="1:43" ht="12.75">
      <c r="A416" s="1" t="s">
        <v>558</v>
      </c>
      <c r="B416" s="18" t="s">
        <v>102</v>
      </c>
      <c r="C416" t="s">
        <v>123</v>
      </c>
      <c r="D416" s="19">
        <v>1</v>
      </c>
      <c r="E416" s="7" t="s">
        <v>710</v>
      </c>
      <c r="F416" s="19"/>
      <c r="G416" s="4">
        <f>IF(F416&gt;0,F416,IF(PrefetchDBSummary!$C$10="B",AJ416,8))</f>
        <v>8</v>
      </c>
      <c r="H416" s="4">
        <f>PrefetchDBSummary!$C$52</f>
        <v>0</v>
      </c>
      <c r="I416" s="4">
        <f>PrefetchDBSummary!$D$52</f>
        <v>0</v>
      </c>
      <c r="J416" s="5">
        <f t="shared" si="81"/>
        <v>0</v>
      </c>
      <c r="K416" s="4">
        <f t="shared" si="82"/>
        <v>0</v>
      </c>
      <c r="L416" s="4">
        <f t="shared" si="83"/>
        <v>0</v>
      </c>
      <c r="M416" s="5">
        <f t="shared" si="84"/>
        <v>0</v>
      </c>
      <c r="N416" s="17">
        <f t="shared" si="78"/>
        <v>0</v>
      </c>
      <c r="O416" s="32">
        <f t="shared" si="79"/>
        <v>0</v>
      </c>
      <c r="AG416" t="s">
        <v>124</v>
      </c>
      <c r="AH416" t="s">
        <v>583</v>
      </c>
      <c r="AI416">
        <v>1</v>
      </c>
      <c r="AJ416">
        <v>32</v>
      </c>
      <c r="AK416">
        <v>2</v>
      </c>
      <c r="AL416">
        <v>0</v>
      </c>
      <c r="AM416">
        <v>50</v>
      </c>
      <c r="AN416">
        <v>50</v>
      </c>
      <c r="AO416">
        <v>32</v>
      </c>
      <c r="AP416" s="44">
        <v>0.125</v>
      </c>
      <c r="AQ416" s="27">
        <f t="shared" si="85"/>
        <v>357</v>
      </c>
    </row>
    <row r="417" spans="1:43" ht="12.75">
      <c r="A417" s="1" t="s">
        <v>558</v>
      </c>
      <c r="B417" s="18" t="s">
        <v>102</v>
      </c>
      <c r="C417" t="s">
        <v>121</v>
      </c>
      <c r="D417" s="19">
        <v>1</v>
      </c>
      <c r="E417" s="7" t="s">
        <v>710</v>
      </c>
      <c r="F417" s="19"/>
      <c r="G417" s="4">
        <f>IF(F417&gt;0,F417,IF(PrefetchDBSummary!$C$10="B",AJ417,8))</f>
        <v>8</v>
      </c>
      <c r="H417" s="4">
        <f>PrefetchDBSummary!$C$52</f>
        <v>0</v>
      </c>
      <c r="I417" s="4">
        <f>PrefetchDBSummary!$D$52</f>
        <v>0</v>
      </c>
      <c r="J417" s="5">
        <f t="shared" si="81"/>
        <v>0</v>
      </c>
      <c r="K417" s="4">
        <f t="shared" si="82"/>
        <v>0</v>
      </c>
      <c r="L417" s="4">
        <f t="shared" si="83"/>
        <v>0</v>
      </c>
      <c r="M417" s="5">
        <f t="shared" si="84"/>
        <v>0</v>
      </c>
      <c r="N417" s="17">
        <f t="shared" si="78"/>
        <v>0</v>
      </c>
      <c r="O417" s="32">
        <f t="shared" si="79"/>
        <v>0</v>
      </c>
      <c r="AG417" t="s">
        <v>122</v>
      </c>
      <c r="AH417" t="s">
        <v>583</v>
      </c>
      <c r="AI417">
        <v>2</v>
      </c>
      <c r="AJ417">
        <v>32</v>
      </c>
      <c r="AK417">
        <v>2</v>
      </c>
      <c r="AL417">
        <v>0</v>
      </c>
      <c r="AM417">
        <v>50</v>
      </c>
      <c r="AN417">
        <v>50</v>
      </c>
      <c r="AO417">
        <v>32</v>
      </c>
      <c r="AP417" s="44">
        <v>0.125</v>
      </c>
      <c r="AQ417" s="27">
        <f t="shared" si="85"/>
        <v>357</v>
      </c>
    </row>
    <row r="418" spans="1:43" ht="12.75">
      <c r="A418" s="1" t="s">
        <v>558</v>
      </c>
      <c r="B418" s="18" t="s">
        <v>102</v>
      </c>
      <c r="C418" t="s">
        <v>131</v>
      </c>
      <c r="D418" s="19">
        <v>1</v>
      </c>
      <c r="E418" s="7" t="s">
        <v>710</v>
      </c>
      <c r="F418" s="19"/>
      <c r="G418" s="4">
        <f>IF(F418&gt;0,F418,IF(PrefetchDBSummary!$C$10="B",AJ418,8))</f>
        <v>8</v>
      </c>
      <c r="H418" s="4">
        <f>PrefetchDBSummary!$C$52</f>
        <v>0</v>
      </c>
      <c r="I418" s="4">
        <f>PrefetchDBSummary!$D$52</f>
        <v>0</v>
      </c>
      <c r="J418" s="5">
        <f t="shared" si="81"/>
        <v>0</v>
      </c>
      <c r="K418" s="4">
        <f t="shared" si="82"/>
        <v>0</v>
      </c>
      <c r="L418" s="4">
        <f t="shared" si="83"/>
        <v>0</v>
      </c>
      <c r="M418" s="5">
        <f t="shared" si="84"/>
        <v>0</v>
      </c>
      <c r="N418" s="17">
        <f t="shared" si="78"/>
        <v>0</v>
      </c>
      <c r="O418" s="32">
        <f t="shared" si="79"/>
        <v>0</v>
      </c>
      <c r="AG418" t="s">
        <v>132</v>
      </c>
      <c r="AH418" t="s">
        <v>583</v>
      </c>
      <c r="AI418">
        <v>5</v>
      </c>
      <c r="AJ418">
        <v>8</v>
      </c>
      <c r="AK418">
        <v>3</v>
      </c>
      <c r="AL418">
        <v>0</v>
      </c>
      <c r="AM418">
        <v>43</v>
      </c>
      <c r="AN418">
        <v>43</v>
      </c>
      <c r="AO418">
        <v>32</v>
      </c>
      <c r="AP418" s="44">
        <v>0</v>
      </c>
      <c r="AQ418" s="27">
        <f t="shared" si="85"/>
        <v>353.8</v>
      </c>
    </row>
    <row r="419" spans="1:43" ht="12.75">
      <c r="A419" s="1" t="s">
        <v>558</v>
      </c>
      <c r="B419" s="18" t="s">
        <v>102</v>
      </c>
      <c r="C419" t="s">
        <v>133</v>
      </c>
      <c r="D419" s="19">
        <v>5</v>
      </c>
      <c r="E419" s="7" t="s">
        <v>747</v>
      </c>
      <c r="F419" s="19"/>
      <c r="G419" s="4">
        <f>IF(F419&gt;0,F419,IF(PrefetchDBSummary!$C$10="B",AJ419,8))</f>
        <v>8</v>
      </c>
      <c r="H419" s="4">
        <f>PrefetchDBSummary!$C$52</f>
        <v>0</v>
      </c>
      <c r="I419" s="4">
        <f>PrefetchDBSummary!$D$52</f>
        <v>0</v>
      </c>
      <c r="J419" s="5">
        <f t="shared" si="81"/>
        <v>0</v>
      </c>
      <c r="K419" s="4">
        <f t="shared" si="82"/>
        <v>0</v>
      </c>
      <c r="L419" s="4">
        <f t="shared" si="83"/>
        <v>0</v>
      </c>
      <c r="M419" s="5">
        <f t="shared" si="84"/>
        <v>0</v>
      </c>
      <c r="N419" s="17">
        <f t="shared" si="78"/>
        <v>0</v>
      </c>
      <c r="O419" s="32">
        <f t="shared" si="79"/>
        <v>0</v>
      </c>
      <c r="AG419" t="s">
        <v>134</v>
      </c>
      <c r="AH419" t="s">
        <v>583</v>
      </c>
      <c r="AI419">
        <v>5</v>
      </c>
      <c r="AJ419">
        <v>32</v>
      </c>
      <c r="AK419">
        <v>4</v>
      </c>
      <c r="AL419">
        <v>1</v>
      </c>
      <c r="AM419">
        <v>296</v>
      </c>
      <c r="AN419">
        <v>335</v>
      </c>
      <c r="AO419">
        <v>288</v>
      </c>
      <c r="AP419" s="44">
        <v>0.7893518518518519</v>
      </c>
      <c r="AQ419" s="27">
        <f t="shared" si="85"/>
        <v>784.3333333333333</v>
      </c>
    </row>
    <row r="420" spans="1:43" ht="12.75">
      <c r="A420" s="1" t="s">
        <v>558</v>
      </c>
      <c r="B420" s="18" t="s">
        <v>102</v>
      </c>
      <c r="C420" t="s">
        <v>119</v>
      </c>
      <c r="D420" s="19">
        <v>3</v>
      </c>
      <c r="E420" s="7" t="s">
        <v>795</v>
      </c>
      <c r="F420" s="19"/>
      <c r="G420" s="4">
        <f>IF(F420&gt;0,F420,IF(PrefetchDBSummary!$C$10="B",AJ420,8))</f>
        <v>8</v>
      </c>
      <c r="H420" s="4">
        <f>PrefetchDBSummary!$C$52</f>
        <v>0</v>
      </c>
      <c r="I420" s="4">
        <f>PrefetchDBSummary!$D$52</f>
        <v>0</v>
      </c>
      <c r="J420" s="5">
        <f t="shared" si="81"/>
        <v>0</v>
      </c>
      <c r="K420" s="4">
        <f t="shared" si="82"/>
        <v>0</v>
      </c>
      <c r="L420" s="4">
        <f t="shared" si="83"/>
        <v>0</v>
      </c>
      <c r="M420" s="5">
        <f t="shared" si="84"/>
        <v>0</v>
      </c>
      <c r="N420" s="17">
        <f t="shared" si="78"/>
        <v>0</v>
      </c>
      <c r="O420" s="32">
        <f t="shared" si="79"/>
        <v>0</v>
      </c>
      <c r="AG420" t="s">
        <v>120</v>
      </c>
      <c r="AH420" t="s">
        <v>583</v>
      </c>
      <c r="AI420">
        <v>1</v>
      </c>
      <c r="AJ420">
        <v>8</v>
      </c>
      <c r="AK420">
        <v>9</v>
      </c>
      <c r="AL420">
        <v>0</v>
      </c>
      <c r="AM420">
        <v>657</v>
      </c>
      <c r="AN420">
        <v>657</v>
      </c>
      <c r="AO420">
        <v>640</v>
      </c>
      <c r="AP420" s="44">
        <v>0.765625</v>
      </c>
      <c r="AQ420" s="27">
        <f t="shared" si="85"/>
        <v>991</v>
      </c>
    </row>
    <row r="421" spans="1:43" ht="12.75">
      <c r="A421" s="1" t="s">
        <v>558</v>
      </c>
      <c r="B421" s="18" t="s">
        <v>102</v>
      </c>
      <c r="C421" t="s">
        <v>1587</v>
      </c>
      <c r="D421" s="19">
        <v>1</v>
      </c>
      <c r="E421" s="7" t="s">
        <v>710</v>
      </c>
      <c r="F421" s="19"/>
      <c r="G421" s="4">
        <f>IF(F421&gt;0,F421,IF(PrefetchDBSummary!$C$10="B",AJ421,8))</f>
        <v>8</v>
      </c>
      <c r="H421" s="4">
        <f>PrefetchDBSummary!$C$52</f>
        <v>0</v>
      </c>
      <c r="I421" s="4">
        <f>PrefetchDBSummary!$D$52</f>
        <v>0</v>
      </c>
      <c r="J421" s="5">
        <f t="shared" si="81"/>
        <v>0</v>
      </c>
      <c r="K421" s="4">
        <f t="shared" si="82"/>
        <v>0</v>
      </c>
      <c r="L421" s="4">
        <f t="shared" si="83"/>
        <v>0</v>
      </c>
      <c r="M421" s="5">
        <f t="shared" si="84"/>
        <v>0</v>
      </c>
      <c r="N421" s="17">
        <f t="shared" si="78"/>
        <v>0</v>
      </c>
      <c r="O421" s="32">
        <f t="shared" si="79"/>
        <v>0</v>
      </c>
      <c r="AG421" t="s">
        <v>1491</v>
      </c>
      <c r="AH421" t="s">
        <v>583</v>
      </c>
      <c r="AI421">
        <v>1</v>
      </c>
      <c r="AJ421">
        <v>8</v>
      </c>
      <c r="AK421">
        <v>2</v>
      </c>
      <c r="AL421">
        <v>0</v>
      </c>
      <c r="AM421">
        <v>42</v>
      </c>
      <c r="AN421">
        <v>42</v>
      </c>
      <c r="AO421">
        <v>32</v>
      </c>
      <c r="AP421" s="44">
        <v>0</v>
      </c>
      <c r="AQ421" s="27">
        <f t="shared" si="85"/>
        <v>333.8</v>
      </c>
    </row>
    <row r="422" spans="1:43" ht="12.75">
      <c r="A422" s="1" t="s">
        <v>558</v>
      </c>
      <c r="B422" s="18" t="s">
        <v>102</v>
      </c>
      <c r="C422" t="s">
        <v>493</v>
      </c>
      <c r="D422" s="19">
        <v>1</v>
      </c>
      <c r="E422" s="7" t="s">
        <v>710</v>
      </c>
      <c r="F422" s="19"/>
      <c r="G422" s="4">
        <f>IF(F422&gt;0,F422,IF(PrefetchDBSummary!$C$10="B",AJ422,8))</f>
        <v>8</v>
      </c>
      <c r="H422" s="4">
        <f>PrefetchDBSummary!$C$52</f>
        <v>0</v>
      </c>
      <c r="I422" s="4">
        <f>PrefetchDBSummary!$D$52</f>
        <v>0</v>
      </c>
      <c r="J422" s="5">
        <f t="shared" si="81"/>
        <v>0</v>
      </c>
      <c r="K422" s="4">
        <f t="shared" si="82"/>
        <v>0</v>
      </c>
      <c r="L422" s="4">
        <f t="shared" si="83"/>
        <v>0</v>
      </c>
      <c r="M422" s="5">
        <f t="shared" si="84"/>
        <v>0</v>
      </c>
      <c r="N422" s="17">
        <f t="shared" si="78"/>
        <v>0</v>
      </c>
      <c r="O422" s="32">
        <f t="shared" si="79"/>
        <v>0</v>
      </c>
      <c r="AG422" t="s">
        <v>494</v>
      </c>
      <c r="AH422" t="s">
        <v>583</v>
      </c>
      <c r="AI422">
        <v>60</v>
      </c>
      <c r="AJ422">
        <v>8</v>
      </c>
      <c r="AK422">
        <v>6</v>
      </c>
      <c r="AL422">
        <v>0</v>
      </c>
      <c r="AM422">
        <v>490</v>
      </c>
      <c r="AN422">
        <v>490</v>
      </c>
      <c r="AO422">
        <v>480</v>
      </c>
      <c r="AP422" s="44">
        <v>0.75</v>
      </c>
      <c r="AQ422" s="27">
        <f t="shared" si="85"/>
        <v>517</v>
      </c>
    </row>
    <row r="423" spans="1:43" ht="12.75">
      <c r="A423" s="1" t="s">
        <v>558</v>
      </c>
      <c r="B423" s="18" t="s">
        <v>102</v>
      </c>
      <c r="C423" t="s">
        <v>129</v>
      </c>
      <c r="D423" s="19">
        <v>10</v>
      </c>
      <c r="E423" s="7" t="s">
        <v>797</v>
      </c>
      <c r="F423" s="19"/>
      <c r="G423" s="4">
        <f>IF(F423&gt;0,F423,IF(PrefetchDBSummary!$C$10="B",AJ423,8))</f>
        <v>8</v>
      </c>
      <c r="H423" s="4">
        <f>PrefetchDBSummary!$C$52</f>
        <v>0</v>
      </c>
      <c r="I423" s="4">
        <f>PrefetchDBSummary!$D$52</f>
        <v>0</v>
      </c>
      <c r="J423" s="5">
        <f t="shared" si="81"/>
        <v>0</v>
      </c>
      <c r="K423" s="4">
        <f t="shared" si="82"/>
        <v>0</v>
      </c>
      <c r="L423" s="4">
        <f t="shared" si="83"/>
        <v>0</v>
      </c>
      <c r="M423" s="5">
        <f t="shared" si="84"/>
        <v>0</v>
      </c>
      <c r="N423" s="17">
        <f t="shared" si="78"/>
        <v>0</v>
      </c>
      <c r="O423" s="32">
        <f t="shared" si="79"/>
        <v>0</v>
      </c>
      <c r="AG423" t="s">
        <v>130</v>
      </c>
      <c r="AH423" t="s">
        <v>583</v>
      </c>
      <c r="AI423">
        <v>1</v>
      </c>
      <c r="AJ423">
        <v>32</v>
      </c>
      <c r="AK423">
        <v>3</v>
      </c>
      <c r="AL423">
        <v>1</v>
      </c>
      <c r="AM423">
        <v>115</v>
      </c>
      <c r="AN423">
        <v>166</v>
      </c>
      <c r="AO423">
        <v>96</v>
      </c>
      <c r="AP423" s="44">
        <v>0.5104166666666667</v>
      </c>
      <c r="AQ423" s="27">
        <f t="shared" si="85"/>
        <v>1197</v>
      </c>
    </row>
    <row r="424" spans="1:43" ht="12.75">
      <c r="A424" s="1" t="s">
        <v>558</v>
      </c>
      <c r="B424" s="18" t="s">
        <v>102</v>
      </c>
      <c r="C424" t="s">
        <v>127</v>
      </c>
      <c r="D424" s="19">
        <v>5</v>
      </c>
      <c r="E424" s="7" t="s">
        <v>796</v>
      </c>
      <c r="F424" s="19"/>
      <c r="G424" s="4">
        <f>IF(F424&gt;0,F424,IF(PrefetchDBSummary!$C$10="B",AJ424,8))</f>
        <v>8</v>
      </c>
      <c r="H424" s="4">
        <f>PrefetchDBSummary!$C$52</f>
        <v>0</v>
      </c>
      <c r="I424" s="4">
        <f>PrefetchDBSummary!$D$52</f>
        <v>0</v>
      </c>
      <c r="J424" s="5">
        <f t="shared" si="81"/>
        <v>0</v>
      </c>
      <c r="K424" s="4">
        <f t="shared" si="82"/>
        <v>0</v>
      </c>
      <c r="L424" s="4">
        <f t="shared" si="83"/>
        <v>0</v>
      </c>
      <c r="M424" s="5">
        <f t="shared" si="84"/>
        <v>0</v>
      </c>
      <c r="N424" s="17">
        <f t="shared" si="78"/>
        <v>0</v>
      </c>
      <c r="O424" s="32">
        <f t="shared" si="79"/>
        <v>0</v>
      </c>
      <c r="AG424" t="s">
        <v>128</v>
      </c>
      <c r="AH424" t="s">
        <v>583</v>
      </c>
      <c r="AI424">
        <v>1</v>
      </c>
      <c r="AJ424">
        <v>32</v>
      </c>
      <c r="AK424">
        <v>5</v>
      </c>
      <c r="AL424">
        <v>2</v>
      </c>
      <c r="AM424">
        <v>373</v>
      </c>
      <c r="AN424">
        <v>443</v>
      </c>
      <c r="AO424">
        <v>352</v>
      </c>
      <c r="AP424" s="44">
        <v>0.5670454545454545</v>
      </c>
      <c r="AQ424" s="27">
        <f t="shared" si="85"/>
        <v>1327</v>
      </c>
    </row>
    <row r="425" spans="1:43" ht="12.75">
      <c r="A425" t="s">
        <v>895</v>
      </c>
      <c r="B425" s="18" t="s">
        <v>926</v>
      </c>
      <c r="C425" t="s">
        <v>896</v>
      </c>
      <c r="D425" s="19">
        <v>1</v>
      </c>
      <c r="E425" s="7" t="s">
        <v>722</v>
      </c>
      <c r="F425" s="19"/>
      <c r="G425" s="4">
        <f>IF(F425&gt;0,F425,IF(PrefetchDBSummary!$C$10="B",AJ425,8))</f>
        <v>8</v>
      </c>
      <c r="H425" s="4">
        <f>PrefetchDBSummary!C$30</f>
        <v>0</v>
      </c>
      <c r="I425" s="4">
        <f>PrefetchDBSummary!D$30</f>
        <v>0</v>
      </c>
      <c r="J425" s="5">
        <f t="shared" si="81"/>
        <v>0</v>
      </c>
      <c r="K425" s="4">
        <f t="shared" si="82"/>
        <v>0</v>
      </c>
      <c r="L425" s="4">
        <f t="shared" si="83"/>
        <v>0</v>
      </c>
      <c r="M425" s="5">
        <f t="shared" si="84"/>
        <v>0</v>
      </c>
      <c r="N425" s="17">
        <f t="shared" si="78"/>
        <v>0</v>
      </c>
      <c r="O425" s="32">
        <f t="shared" si="79"/>
        <v>0</v>
      </c>
      <c r="AG425" t="s">
        <v>911</v>
      </c>
      <c r="AH425" t="s">
        <v>583</v>
      </c>
      <c r="AI425">
        <v>1</v>
      </c>
      <c r="AJ425">
        <v>32</v>
      </c>
      <c r="AK425">
        <v>7</v>
      </c>
      <c r="AL425">
        <v>2</v>
      </c>
      <c r="AM425">
        <v>255</v>
      </c>
      <c r="AN425">
        <v>333</v>
      </c>
      <c r="AO425">
        <v>224</v>
      </c>
      <c r="AP425" s="44"/>
      <c r="AQ425" s="27">
        <f t="shared" si="85"/>
        <v>526.6</v>
      </c>
    </row>
    <row r="426" spans="1:43" ht="12.75">
      <c r="A426" t="s">
        <v>895</v>
      </c>
      <c r="B426" s="18" t="s">
        <v>926</v>
      </c>
      <c r="C426" t="s">
        <v>897</v>
      </c>
      <c r="D426" s="19">
        <v>1</v>
      </c>
      <c r="E426" s="7" t="s">
        <v>721</v>
      </c>
      <c r="F426" s="19"/>
      <c r="G426" s="4">
        <f>IF(F426&gt;0,F426,IF(PrefetchDBSummary!$C$10="B",AJ426,8))</f>
        <v>8</v>
      </c>
      <c r="H426" s="4">
        <f>PrefetchDBSummary!C$30</f>
        <v>0</v>
      </c>
      <c r="I426" s="4">
        <f>PrefetchDBSummary!D$30</f>
        <v>0</v>
      </c>
      <c r="J426" s="5">
        <f t="shared" si="81"/>
        <v>0</v>
      </c>
      <c r="K426" s="4">
        <f t="shared" si="82"/>
        <v>0</v>
      </c>
      <c r="L426" s="4">
        <f t="shared" si="83"/>
        <v>0</v>
      </c>
      <c r="M426" s="5">
        <f t="shared" si="84"/>
        <v>0</v>
      </c>
      <c r="N426" s="17">
        <f t="shared" si="78"/>
        <v>0</v>
      </c>
      <c r="O426" s="32">
        <f t="shared" si="79"/>
        <v>0</v>
      </c>
      <c r="AG426" t="s">
        <v>912</v>
      </c>
      <c r="AH426" t="s">
        <v>582</v>
      </c>
      <c r="AI426">
        <v>60</v>
      </c>
      <c r="AJ426">
        <v>8</v>
      </c>
      <c r="AK426">
        <v>3</v>
      </c>
      <c r="AL426">
        <v>1</v>
      </c>
      <c r="AM426">
        <v>139</v>
      </c>
      <c r="AN426">
        <v>178</v>
      </c>
      <c r="AO426">
        <v>132</v>
      </c>
      <c r="AP426" s="44"/>
      <c r="AQ426" s="27">
        <f t="shared" si="85"/>
        <v>389.8</v>
      </c>
    </row>
    <row r="427" spans="1:43" ht="12.75">
      <c r="A427" t="s">
        <v>895</v>
      </c>
      <c r="B427" s="18" t="s">
        <v>926</v>
      </c>
      <c r="C427" t="s">
        <v>898</v>
      </c>
      <c r="D427" s="19">
        <v>7</v>
      </c>
      <c r="E427" s="7" t="s">
        <v>927</v>
      </c>
      <c r="F427" s="19"/>
      <c r="G427" s="4">
        <f>IF(F427&gt;0,F427,IF(PrefetchDBSummary!$C$10="B",AJ427,8))</f>
        <v>8</v>
      </c>
      <c r="H427" s="4">
        <f>PrefetchDBSummary!C$30</f>
        <v>0</v>
      </c>
      <c r="I427" s="4">
        <f>PrefetchDBSummary!D$30</f>
        <v>0</v>
      </c>
      <c r="J427" s="5">
        <f t="shared" si="81"/>
        <v>0</v>
      </c>
      <c r="K427" s="4">
        <f t="shared" si="82"/>
        <v>0</v>
      </c>
      <c r="L427" s="4">
        <f t="shared" si="83"/>
        <v>0</v>
      </c>
      <c r="M427" s="5">
        <f t="shared" si="84"/>
        <v>0</v>
      </c>
      <c r="N427" s="17">
        <f t="shared" si="78"/>
        <v>0</v>
      </c>
      <c r="O427" s="32">
        <f t="shared" si="79"/>
        <v>0</v>
      </c>
      <c r="AG427" t="s">
        <v>913</v>
      </c>
      <c r="AH427" t="s">
        <v>583</v>
      </c>
      <c r="AI427">
        <v>5</v>
      </c>
      <c r="AJ427">
        <v>8</v>
      </c>
      <c r="AK427">
        <v>4</v>
      </c>
      <c r="AL427">
        <v>1</v>
      </c>
      <c r="AM427">
        <v>240</v>
      </c>
      <c r="AN427">
        <v>279</v>
      </c>
      <c r="AO427">
        <v>232</v>
      </c>
      <c r="AP427" s="44"/>
      <c r="AQ427" s="27">
        <f t="shared" si="85"/>
        <v>1192.6000000000001</v>
      </c>
    </row>
    <row r="428" spans="1:43" ht="12.75">
      <c r="A428" t="s">
        <v>895</v>
      </c>
      <c r="B428" s="18" t="s">
        <v>926</v>
      </c>
      <c r="C428" t="s">
        <v>899</v>
      </c>
      <c r="D428" s="19">
        <v>2</v>
      </c>
      <c r="E428" s="7" t="s">
        <v>928</v>
      </c>
      <c r="F428" s="19"/>
      <c r="G428" s="4">
        <f>IF(F428&gt;0,F428,IF(PrefetchDBSummary!$C$10="B",AJ428,8))</f>
        <v>8</v>
      </c>
      <c r="H428" s="4">
        <f>PrefetchDBSummary!C$30</f>
        <v>0</v>
      </c>
      <c r="I428" s="4">
        <f>PrefetchDBSummary!D$30</f>
        <v>0</v>
      </c>
      <c r="J428" s="5">
        <f t="shared" si="81"/>
        <v>0</v>
      </c>
      <c r="K428" s="4">
        <f t="shared" si="82"/>
        <v>0</v>
      </c>
      <c r="L428" s="4">
        <f t="shared" si="83"/>
        <v>0</v>
      </c>
      <c r="M428" s="5">
        <f t="shared" si="84"/>
        <v>0</v>
      </c>
      <c r="N428" s="17">
        <f t="shared" si="78"/>
        <v>0</v>
      </c>
      <c r="O428" s="32">
        <f t="shared" si="79"/>
        <v>0</v>
      </c>
      <c r="AG428" t="s">
        <v>914</v>
      </c>
      <c r="AH428" t="s">
        <v>583</v>
      </c>
      <c r="AI428">
        <v>1</v>
      </c>
      <c r="AJ428">
        <v>15</v>
      </c>
      <c r="AK428">
        <v>5</v>
      </c>
      <c r="AL428">
        <v>2</v>
      </c>
      <c r="AM428">
        <v>161</v>
      </c>
      <c r="AN428">
        <v>239</v>
      </c>
      <c r="AO428">
        <v>132</v>
      </c>
      <c r="AP428" s="44"/>
      <c r="AQ428" s="27">
        <f t="shared" si="85"/>
        <v>554.6</v>
      </c>
    </row>
    <row r="429" spans="1:43" ht="12.75">
      <c r="A429" t="s">
        <v>895</v>
      </c>
      <c r="B429" s="18" t="s">
        <v>926</v>
      </c>
      <c r="C429" t="s">
        <v>900</v>
      </c>
      <c r="D429" s="19">
        <v>14</v>
      </c>
      <c r="E429" s="7" t="s">
        <v>760</v>
      </c>
      <c r="F429" s="19"/>
      <c r="G429" s="4">
        <f>IF(F429&gt;0,F429,IF(PrefetchDBSummary!$C$10="B",AJ429,8))</f>
        <v>8</v>
      </c>
      <c r="H429" s="4">
        <f>PrefetchDBSummary!C$30</f>
        <v>0</v>
      </c>
      <c r="I429" s="4">
        <f>PrefetchDBSummary!D$30</f>
        <v>0</v>
      </c>
      <c r="J429" s="5">
        <f t="shared" si="81"/>
        <v>0</v>
      </c>
      <c r="K429" s="4">
        <f t="shared" si="82"/>
        <v>0</v>
      </c>
      <c r="L429" s="4">
        <f t="shared" si="83"/>
        <v>0</v>
      </c>
      <c r="M429" s="5">
        <f t="shared" si="84"/>
        <v>0</v>
      </c>
      <c r="N429" s="17">
        <f t="shared" si="78"/>
        <v>0</v>
      </c>
      <c r="O429" s="32">
        <f t="shared" si="79"/>
        <v>0</v>
      </c>
      <c r="AG429" t="s">
        <v>915</v>
      </c>
      <c r="AH429" t="s">
        <v>583</v>
      </c>
      <c r="AI429">
        <v>1</v>
      </c>
      <c r="AJ429">
        <v>15</v>
      </c>
      <c r="AK429">
        <v>6</v>
      </c>
      <c r="AL429">
        <v>2</v>
      </c>
      <c r="AM429">
        <v>262</v>
      </c>
      <c r="AN429">
        <v>340</v>
      </c>
      <c r="AO429">
        <v>232</v>
      </c>
      <c r="AP429" s="44"/>
      <c r="AQ429" s="27">
        <f t="shared" si="85"/>
        <v>2405.2000000000003</v>
      </c>
    </row>
    <row r="430" spans="1:43" ht="12.75">
      <c r="A430" t="s">
        <v>895</v>
      </c>
      <c r="B430" s="18" t="s">
        <v>926</v>
      </c>
      <c r="C430" t="s">
        <v>901</v>
      </c>
      <c r="D430" s="19">
        <v>2</v>
      </c>
      <c r="E430" s="7" t="s">
        <v>929</v>
      </c>
      <c r="F430" s="19"/>
      <c r="G430" s="4">
        <f>IF(F430&gt;0,F430,IF(PrefetchDBSummary!$C$10="B",AJ430,8))</f>
        <v>8</v>
      </c>
      <c r="H430" s="4">
        <f>PrefetchDBSummary!C$30</f>
        <v>0</v>
      </c>
      <c r="I430" s="4">
        <f>PrefetchDBSummary!D$30</f>
        <v>0</v>
      </c>
      <c r="J430" s="5">
        <f t="shared" si="81"/>
        <v>0</v>
      </c>
      <c r="K430" s="4">
        <f t="shared" si="82"/>
        <v>0</v>
      </c>
      <c r="L430" s="4">
        <f t="shared" si="83"/>
        <v>0</v>
      </c>
      <c r="M430" s="5">
        <f t="shared" si="84"/>
        <v>0</v>
      </c>
      <c r="N430" s="17">
        <f t="shared" si="78"/>
        <v>0</v>
      </c>
      <c r="O430" s="32">
        <f t="shared" si="79"/>
        <v>0</v>
      </c>
      <c r="AG430" t="s">
        <v>916</v>
      </c>
      <c r="AH430" t="s">
        <v>583</v>
      </c>
      <c r="AI430">
        <v>1</v>
      </c>
      <c r="AJ430">
        <v>32</v>
      </c>
      <c r="AK430">
        <v>6</v>
      </c>
      <c r="AL430">
        <v>3</v>
      </c>
      <c r="AM430">
        <v>166</v>
      </c>
      <c r="AN430">
        <v>283</v>
      </c>
      <c r="AO430">
        <v>132</v>
      </c>
      <c r="AP430" s="44"/>
      <c r="AQ430" s="27">
        <f t="shared" si="85"/>
        <v>583.6</v>
      </c>
    </row>
    <row r="431" spans="1:43" ht="12.75">
      <c r="A431" t="s">
        <v>895</v>
      </c>
      <c r="B431" s="18" t="s">
        <v>926</v>
      </c>
      <c r="C431" t="s">
        <v>902</v>
      </c>
      <c r="D431" s="19">
        <v>2</v>
      </c>
      <c r="E431" s="7" t="s">
        <v>928</v>
      </c>
      <c r="F431" s="19"/>
      <c r="G431" s="4">
        <f>IF(F431&gt;0,F431,IF(PrefetchDBSummary!$C$10="B",AJ431,8))</f>
        <v>8</v>
      </c>
      <c r="H431" s="4">
        <f>PrefetchDBSummary!C$30</f>
        <v>0</v>
      </c>
      <c r="I431" s="4">
        <f>PrefetchDBSummary!D$30</f>
        <v>0</v>
      </c>
      <c r="J431" s="5">
        <f t="shared" si="81"/>
        <v>0</v>
      </c>
      <c r="K431" s="4">
        <f t="shared" si="82"/>
        <v>0</v>
      </c>
      <c r="L431" s="4">
        <f t="shared" si="83"/>
        <v>0</v>
      </c>
      <c r="M431" s="5">
        <f t="shared" si="84"/>
        <v>0</v>
      </c>
      <c r="N431" s="17">
        <f aca="true" t="shared" si="86" ref="N431:N494">L431*60*24*IF(G431&gt;0,G431,(G431))</f>
        <v>0</v>
      </c>
      <c r="O431" s="32">
        <f aca="true" t="shared" si="87" ref="O431:O494">N431*($AM431-$AO431*IF($AP431&gt;0,1-$AP431,1-$AS$2))*(1-$AS$3)/1024/1024</f>
        <v>0</v>
      </c>
      <c r="AG431" t="s">
        <v>917</v>
      </c>
      <c r="AH431" t="s">
        <v>583</v>
      </c>
      <c r="AI431">
        <v>1</v>
      </c>
      <c r="AJ431">
        <v>32</v>
      </c>
      <c r="AK431">
        <v>6</v>
      </c>
      <c r="AL431">
        <v>0</v>
      </c>
      <c r="AM431">
        <v>454</v>
      </c>
      <c r="AN431">
        <v>454</v>
      </c>
      <c r="AO431">
        <v>432</v>
      </c>
      <c r="AP431" s="44"/>
      <c r="AQ431" s="27">
        <f t="shared" si="85"/>
        <v>799.6</v>
      </c>
    </row>
    <row r="432" spans="1:43" ht="12.75">
      <c r="A432" t="s">
        <v>895</v>
      </c>
      <c r="B432" s="18" t="s">
        <v>926</v>
      </c>
      <c r="C432" t="s">
        <v>903</v>
      </c>
      <c r="D432" s="19">
        <v>5</v>
      </c>
      <c r="E432" s="7" t="s">
        <v>928</v>
      </c>
      <c r="F432" s="19"/>
      <c r="G432" s="4">
        <f>IF(F432&gt;0,F432,IF(PrefetchDBSummary!$C$10="B",AJ432,8))</f>
        <v>8</v>
      </c>
      <c r="H432" s="4">
        <f>PrefetchDBSummary!C$30</f>
        <v>0</v>
      </c>
      <c r="I432" s="4">
        <f>PrefetchDBSummary!D$30</f>
        <v>0</v>
      </c>
      <c r="J432" s="5">
        <f t="shared" si="81"/>
        <v>0</v>
      </c>
      <c r="K432" s="4">
        <f t="shared" si="82"/>
        <v>0</v>
      </c>
      <c r="L432" s="4">
        <f t="shared" si="83"/>
        <v>0</v>
      </c>
      <c r="M432" s="5">
        <f t="shared" si="84"/>
        <v>0</v>
      </c>
      <c r="N432" s="17">
        <f t="shared" si="86"/>
        <v>0</v>
      </c>
      <c r="O432" s="32">
        <f t="shared" si="87"/>
        <v>0</v>
      </c>
      <c r="AG432" t="s">
        <v>918</v>
      </c>
      <c r="AH432" t="s">
        <v>583</v>
      </c>
      <c r="AI432">
        <v>5</v>
      </c>
      <c r="AJ432">
        <v>8</v>
      </c>
      <c r="AK432">
        <v>4</v>
      </c>
      <c r="AL432">
        <v>0</v>
      </c>
      <c r="AM432">
        <v>300</v>
      </c>
      <c r="AN432">
        <v>300</v>
      </c>
      <c r="AO432">
        <v>296</v>
      </c>
      <c r="AP432" s="44"/>
      <c r="AQ432" s="27">
        <f t="shared" si="85"/>
        <v>1053</v>
      </c>
    </row>
    <row r="433" spans="1:43" ht="12.75">
      <c r="A433" t="s">
        <v>895</v>
      </c>
      <c r="B433" s="18" t="s">
        <v>926</v>
      </c>
      <c r="C433" t="s">
        <v>904</v>
      </c>
      <c r="D433" s="19">
        <v>2</v>
      </c>
      <c r="E433" s="7" t="s">
        <v>928</v>
      </c>
      <c r="F433" s="19"/>
      <c r="G433" s="4">
        <f>IF(F433&gt;0,F433,IF(PrefetchDBSummary!$C$10="B",AJ433,8))</f>
        <v>8</v>
      </c>
      <c r="H433" s="4">
        <f>PrefetchDBSummary!C$30</f>
        <v>0</v>
      </c>
      <c r="I433" s="4">
        <f>PrefetchDBSummary!D$30</f>
        <v>0</v>
      </c>
      <c r="J433" s="5">
        <f t="shared" si="81"/>
        <v>0</v>
      </c>
      <c r="K433" s="4">
        <f t="shared" si="82"/>
        <v>0</v>
      </c>
      <c r="L433" s="4">
        <f t="shared" si="83"/>
        <v>0</v>
      </c>
      <c r="M433" s="5">
        <f t="shared" si="84"/>
        <v>0</v>
      </c>
      <c r="N433" s="17">
        <f t="shared" si="86"/>
        <v>0</v>
      </c>
      <c r="O433" s="32">
        <f t="shared" si="87"/>
        <v>0</v>
      </c>
      <c r="AG433" t="s">
        <v>919</v>
      </c>
      <c r="AH433" t="s">
        <v>583</v>
      </c>
      <c r="AI433">
        <v>5</v>
      </c>
      <c r="AJ433">
        <v>8</v>
      </c>
      <c r="AK433">
        <v>4</v>
      </c>
      <c r="AL433">
        <v>0</v>
      </c>
      <c r="AM433">
        <v>144</v>
      </c>
      <c r="AN433">
        <v>144</v>
      </c>
      <c r="AO433">
        <v>132</v>
      </c>
      <c r="AP433" s="44"/>
      <c r="AQ433" s="27">
        <f t="shared" si="85"/>
        <v>501.6</v>
      </c>
    </row>
    <row r="434" spans="1:43" ht="12.75">
      <c r="A434" t="s">
        <v>895</v>
      </c>
      <c r="B434" s="18" t="s">
        <v>926</v>
      </c>
      <c r="C434" t="s">
        <v>905</v>
      </c>
      <c r="D434" s="19">
        <v>5</v>
      </c>
      <c r="E434" s="7" t="s">
        <v>928</v>
      </c>
      <c r="F434" s="19"/>
      <c r="G434" s="4">
        <f>IF(F434&gt;0,F434,IF(PrefetchDBSummary!$C$10="B",AJ434,8))</f>
        <v>8</v>
      </c>
      <c r="H434" s="4">
        <f>PrefetchDBSummary!C$30</f>
        <v>0</v>
      </c>
      <c r="I434" s="4">
        <f>PrefetchDBSummary!D$30</f>
        <v>0</v>
      </c>
      <c r="J434" s="5">
        <f t="shared" si="81"/>
        <v>0</v>
      </c>
      <c r="K434" s="4">
        <f t="shared" si="82"/>
        <v>0</v>
      </c>
      <c r="L434" s="4">
        <f t="shared" si="83"/>
        <v>0</v>
      </c>
      <c r="M434" s="5">
        <f t="shared" si="84"/>
        <v>0</v>
      </c>
      <c r="N434" s="17">
        <f t="shared" si="86"/>
        <v>0</v>
      </c>
      <c r="O434" s="32">
        <f t="shared" si="87"/>
        <v>0</v>
      </c>
      <c r="AG434" t="s">
        <v>920</v>
      </c>
      <c r="AH434" t="s">
        <v>583</v>
      </c>
      <c r="AI434">
        <v>5</v>
      </c>
      <c r="AJ434">
        <v>32</v>
      </c>
      <c r="AK434">
        <v>7</v>
      </c>
      <c r="AL434">
        <v>0</v>
      </c>
      <c r="AM434">
        <v>507</v>
      </c>
      <c r="AN434">
        <v>507</v>
      </c>
      <c r="AO434">
        <v>496</v>
      </c>
      <c r="AP434" s="44"/>
      <c r="AQ434" s="27">
        <f t="shared" si="85"/>
        <v>1545</v>
      </c>
    </row>
    <row r="435" spans="1:43" ht="12.75">
      <c r="A435" t="s">
        <v>895</v>
      </c>
      <c r="B435" s="18" t="s">
        <v>926</v>
      </c>
      <c r="C435" t="s">
        <v>906</v>
      </c>
      <c r="D435" s="19">
        <v>10</v>
      </c>
      <c r="E435" s="7" t="s">
        <v>808</v>
      </c>
      <c r="F435" s="19"/>
      <c r="G435" s="4">
        <f>IF(F435&gt;0,F435,IF(PrefetchDBSummary!$C$10="B",AJ435,8))</f>
        <v>8</v>
      </c>
      <c r="H435" s="4">
        <f>PrefetchDBSummary!C$30</f>
        <v>0</v>
      </c>
      <c r="I435" s="4">
        <f>PrefetchDBSummary!D$30</f>
        <v>0</v>
      </c>
      <c r="J435" s="5">
        <f t="shared" si="81"/>
        <v>0</v>
      </c>
      <c r="K435" s="4">
        <f t="shared" si="82"/>
        <v>0</v>
      </c>
      <c r="L435" s="4">
        <f t="shared" si="83"/>
        <v>0</v>
      </c>
      <c r="M435" s="5">
        <f t="shared" si="84"/>
        <v>0</v>
      </c>
      <c r="N435" s="17">
        <f t="shared" si="86"/>
        <v>0</v>
      </c>
      <c r="O435" s="32">
        <f t="shared" si="87"/>
        <v>0</v>
      </c>
      <c r="AG435" t="s">
        <v>921</v>
      </c>
      <c r="AH435" t="s">
        <v>583</v>
      </c>
      <c r="AI435">
        <v>5</v>
      </c>
      <c r="AJ435">
        <v>8</v>
      </c>
      <c r="AK435">
        <v>4</v>
      </c>
      <c r="AL435">
        <v>0</v>
      </c>
      <c r="AM435">
        <v>240</v>
      </c>
      <c r="AN435">
        <v>240</v>
      </c>
      <c r="AO435">
        <v>232</v>
      </c>
      <c r="AP435" s="44"/>
      <c r="AQ435" s="27">
        <f t="shared" si="85"/>
        <v>1564</v>
      </c>
    </row>
    <row r="436" spans="1:43" ht="12.75">
      <c r="A436" t="s">
        <v>895</v>
      </c>
      <c r="B436" s="18" t="s">
        <v>926</v>
      </c>
      <c r="C436" t="s">
        <v>907</v>
      </c>
      <c r="D436" s="19">
        <v>5</v>
      </c>
      <c r="E436" s="7" t="s">
        <v>930</v>
      </c>
      <c r="F436" s="19"/>
      <c r="G436" s="4">
        <f>IF(F436&gt;0,F436,IF(PrefetchDBSummary!$C$10="B",AJ436,8))</f>
        <v>8</v>
      </c>
      <c r="H436" s="4">
        <f>PrefetchDBSummary!C$30</f>
        <v>0</v>
      </c>
      <c r="I436" s="4">
        <f>PrefetchDBSummary!D$30</f>
        <v>0</v>
      </c>
      <c r="J436" s="5">
        <f t="shared" si="81"/>
        <v>0</v>
      </c>
      <c r="K436" s="4">
        <f t="shared" si="82"/>
        <v>0</v>
      </c>
      <c r="L436" s="4">
        <f t="shared" si="83"/>
        <v>0</v>
      </c>
      <c r="M436" s="5">
        <f t="shared" si="84"/>
        <v>0</v>
      </c>
      <c r="N436" s="17">
        <f t="shared" si="86"/>
        <v>0</v>
      </c>
      <c r="O436" s="32">
        <f t="shared" si="87"/>
        <v>0</v>
      </c>
      <c r="AG436" t="s">
        <v>922</v>
      </c>
      <c r="AH436" t="s">
        <v>583</v>
      </c>
      <c r="AI436">
        <v>5</v>
      </c>
      <c r="AJ436">
        <v>8</v>
      </c>
      <c r="AK436">
        <v>3</v>
      </c>
      <c r="AL436">
        <v>0</v>
      </c>
      <c r="AM436">
        <v>139</v>
      </c>
      <c r="AN436">
        <v>139</v>
      </c>
      <c r="AO436">
        <v>132</v>
      </c>
      <c r="AP436" s="44"/>
      <c r="AQ436" s="27">
        <f t="shared" si="85"/>
        <v>721</v>
      </c>
    </row>
    <row r="437" spans="1:43" ht="12.75">
      <c r="A437" t="s">
        <v>895</v>
      </c>
      <c r="B437" s="18" t="s">
        <v>926</v>
      </c>
      <c r="C437" t="s">
        <v>908</v>
      </c>
      <c r="D437" s="19">
        <v>1</v>
      </c>
      <c r="E437" s="7"/>
      <c r="F437" s="19"/>
      <c r="G437" s="4">
        <f>IF(F437&gt;0,F437,IF(PrefetchDBSummary!$C$10="B",AJ437,8))</f>
        <v>8</v>
      </c>
      <c r="H437" s="4">
        <f>PrefetchDBSummary!C$30</f>
        <v>0</v>
      </c>
      <c r="I437" s="4">
        <f>PrefetchDBSummary!D$30</f>
        <v>0</v>
      </c>
      <c r="J437" s="5">
        <f t="shared" si="81"/>
        <v>0</v>
      </c>
      <c r="K437" s="4">
        <f t="shared" si="82"/>
        <v>0</v>
      </c>
      <c r="L437" s="4">
        <f t="shared" si="83"/>
        <v>0</v>
      </c>
      <c r="M437" s="5">
        <f t="shared" si="84"/>
        <v>0</v>
      </c>
      <c r="N437" s="17">
        <f t="shared" si="86"/>
        <v>0</v>
      </c>
      <c r="O437" s="32">
        <f t="shared" si="87"/>
        <v>0</v>
      </c>
      <c r="AG437" t="s">
        <v>923</v>
      </c>
      <c r="AH437" t="s">
        <v>583</v>
      </c>
      <c r="AI437">
        <v>5</v>
      </c>
      <c r="AJ437">
        <v>8</v>
      </c>
      <c r="AK437">
        <v>4</v>
      </c>
      <c r="AL437">
        <v>0</v>
      </c>
      <c r="AM437">
        <v>240</v>
      </c>
      <c r="AN437">
        <v>240</v>
      </c>
      <c r="AO437">
        <v>232</v>
      </c>
      <c r="AP437" s="44"/>
      <c r="AQ437" s="27">
        <f t="shared" si="85"/>
        <v>449.8</v>
      </c>
    </row>
    <row r="438" spans="1:43" ht="12.75">
      <c r="A438" t="s">
        <v>895</v>
      </c>
      <c r="B438" s="18" t="s">
        <v>926</v>
      </c>
      <c r="C438" t="s">
        <v>909</v>
      </c>
      <c r="D438" s="19">
        <v>10</v>
      </c>
      <c r="E438" s="7" t="s">
        <v>808</v>
      </c>
      <c r="F438" s="19"/>
      <c r="G438" s="4">
        <f>IF(F438&gt;0,F438,IF(PrefetchDBSummary!$C$10="B",AJ438,8))</f>
        <v>8</v>
      </c>
      <c r="H438" s="4">
        <f>PrefetchDBSummary!C$30</f>
        <v>0</v>
      </c>
      <c r="I438" s="4">
        <f>PrefetchDBSummary!D$30</f>
        <v>0</v>
      </c>
      <c r="J438" s="5">
        <f t="shared" si="81"/>
        <v>0</v>
      </c>
      <c r="K438" s="4">
        <f t="shared" si="82"/>
        <v>0</v>
      </c>
      <c r="L438" s="4">
        <f t="shared" si="83"/>
        <v>0</v>
      </c>
      <c r="M438" s="5">
        <f t="shared" si="84"/>
        <v>0</v>
      </c>
      <c r="N438" s="17">
        <f t="shared" si="86"/>
        <v>0</v>
      </c>
      <c r="O438" s="32">
        <f t="shared" si="87"/>
        <v>0</v>
      </c>
      <c r="AG438" t="s">
        <v>924</v>
      </c>
      <c r="AH438" t="s">
        <v>583</v>
      </c>
      <c r="AI438">
        <v>5</v>
      </c>
      <c r="AJ438">
        <v>8</v>
      </c>
      <c r="AK438">
        <v>4</v>
      </c>
      <c r="AL438">
        <v>0</v>
      </c>
      <c r="AM438">
        <v>240</v>
      </c>
      <c r="AN438">
        <v>240</v>
      </c>
      <c r="AO438">
        <v>232</v>
      </c>
      <c r="AP438" s="44"/>
      <c r="AQ438" s="27">
        <f t="shared" si="85"/>
        <v>1564</v>
      </c>
    </row>
    <row r="439" spans="1:43" ht="12.75">
      <c r="A439" t="s">
        <v>895</v>
      </c>
      <c r="B439" s="18" t="s">
        <v>926</v>
      </c>
      <c r="C439" t="s">
        <v>910</v>
      </c>
      <c r="D439" s="19">
        <v>1</v>
      </c>
      <c r="E439" s="7" t="s">
        <v>931</v>
      </c>
      <c r="F439" s="19"/>
      <c r="G439" s="4">
        <f>IF(F439&gt;0,F439,IF(PrefetchDBSummary!$C$10="B",AJ439,8))</f>
        <v>8</v>
      </c>
      <c r="H439" s="4">
        <f>PrefetchDBSummary!C$30</f>
        <v>0</v>
      </c>
      <c r="I439" s="4">
        <f>PrefetchDBSummary!D$30</f>
        <v>0</v>
      </c>
      <c r="J439" s="5">
        <f t="shared" si="81"/>
        <v>0</v>
      </c>
      <c r="K439" s="4">
        <f t="shared" si="82"/>
        <v>0</v>
      </c>
      <c r="L439" s="4">
        <f t="shared" si="83"/>
        <v>0</v>
      </c>
      <c r="M439" s="5">
        <f t="shared" si="84"/>
        <v>0</v>
      </c>
      <c r="N439" s="17">
        <f t="shared" si="86"/>
        <v>0</v>
      </c>
      <c r="O439" s="32">
        <f t="shared" si="87"/>
        <v>0</v>
      </c>
      <c r="AG439" t="s">
        <v>925</v>
      </c>
      <c r="AH439" t="s">
        <v>583</v>
      </c>
      <c r="AI439">
        <v>5</v>
      </c>
      <c r="AJ439">
        <v>8</v>
      </c>
      <c r="AK439">
        <v>7</v>
      </c>
      <c r="AL439">
        <v>3</v>
      </c>
      <c r="AM439">
        <v>195</v>
      </c>
      <c r="AN439">
        <v>324</v>
      </c>
      <c r="AO439">
        <v>160</v>
      </c>
      <c r="AP439" s="44"/>
      <c r="AQ439" s="27">
        <f t="shared" si="85"/>
        <v>505</v>
      </c>
    </row>
    <row r="440" spans="1:43" ht="12.75">
      <c r="A440" s="1" t="s">
        <v>559</v>
      </c>
      <c r="B440" s="18" t="s">
        <v>571</v>
      </c>
      <c r="C440" t="s">
        <v>276</v>
      </c>
      <c r="D440" s="19">
        <v>14</v>
      </c>
      <c r="E440" s="7" t="s">
        <v>738</v>
      </c>
      <c r="F440" s="19"/>
      <c r="G440" s="4">
        <f>IF(F440&gt;0,F440,IF(PrefetchDBSummary!$C$10="B",AJ440,8))</f>
        <v>8</v>
      </c>
      <c r="H440" s="4">
        <f>PrefetchDBSummary!$C$33</f>
        <v>0</v>
      </c>
      <c r="I440" s="4">
        <f>PrefetchDBSummary!$D$33</f>
        <v>0</v>
      </c>
      <c r="J440" s="5">
        <f t="shared" si="81"/>
        <v>0</v>
      </c>
      <c r="K440" s="4">
        <f t="shared" si="82"/>
        <v>0</v>
      </c>
      <c r="L440" s="4">
        <f t="shared" si="83"/>
        <v>0</v>
      </c>
      <c r="M440" s="5">
        <f t="shared" si="84"/>
        <v>0</v>
      </c>
      <c r="N440" s="17">
        <f t="shared" si="86"/>
        <v>0</v>
      </c>
      <c r="O440" s="32">
        <f t="shared" si="87"/>
        <v>0</v>
      </c>
      <c r="AG440" t="s">
        <v>277</v>
      </c>
      <c r="AH440" t="s">
        <v>583</v>
      </c>
      <c r="AI440">
        <v>1</v>
      </c>
      <c r="AJ440">
        <v>15</v>
      </c>
      <c r="AK440">
        <v>8</v>
      </c>
      <c r="AL440">
        <v>4</v>
      </c>
      <c r="AM440">
        <v>116</v>
      </c>
      <c r="AN440">
        <v>272</v>
      </c>
      <c r="AO440">
        <v>84</v>
      </c>
      <c r="AQ440" s="27">
        <f t="shared" si="85"/>
        <v>1642.3999999999999</v>
      </c>
    </row>
    <row r="441" spans="1:43" ht="12.75">
      <c r="A441" s="1" t="s">
        <v>559</v>
      </c>
      <c r="B441" s="18" t="s">
        <v>571</v>
      </c>
      <c r="C441" t="s">
        <v>99</v>
      </c>
      <c r="D441" s="19">
        <v>12</v>
      </c>
      <c r="E441" s="7" t="s">
        <v>798</v>
      </c>
      <c r="F441" s="19"/>
      <c r="G441" s="4">
        <f>IF(F441&gt;0,F441,IF(PrefetchDBSummary!$C$10="B",AJ441,8))</f>
        <v>8</v>
      </c>
      <c r="H441" s="4">
        <f>PrefetchDBSummary!$C$33</f>
        <v>0</v>
      </c>
      <c r="I441" s="4">
        <f>PrefetchDBSummary!$C$33</f>
        <v>0</v>
      </c>
      <c r="J441" s="5">
        <f t="shared" si="81"/>
        <v>0</v>
      </c>
      <c r="K441" s="4">
        <f t="shared" si="82"/>
        <v>0</v>
      </c>
      <c r="L441" s="4">
        <f t="shared" si="83"/>
        <v>0</v>
      </c>
      <c r="M441" s="5">
        <f t="shared" si="84"/>
        <v>0</v>
      </c>
      <c r="N441" s="17">
        <f t="shared" si="86"/>
        <v>0</v>
      </c>
      <c r="O441" s="32">
        <f t="shared" si="87"/>
        <v>0</v>
      </c>
      <c r="AG441" t="s">
        <v>100</v>
      </c>
      <c r="AH441" t="s">
        <v>583</v>
      </c>
      <c r="AI441">
        <v>5</v>
      </c>
      <c r="AJ441">
        <v>8</v>
      </c>
      <c r="AK441">
        <v>3</v>
      </c>
      <c r="AL441">
        <v>0</v>
      </c>
      <c r="AM441">
        <v>103</v>
      </c>
      <c r="AN441">
        <v>103</v>
      </c>
      <c r="AO441">
        <v>96</v>
      </c>
      <c r="AQ441" s="27">
        <f t="shared" si="85"/>
        <v>1127.8000000000002</v>
      </c>
    </row>
    <row r="442" spans="1:43" ht="12.75">
      <c r="A442" s="1" t="s">
        <v>559</v>
      </c>
      <c r="B442" s="18" t="s">
        <v>571</v>
      </c>
      <c r="C442" t="s">
        <v>280</v>
      </c>
      <c r="D442" s="19">
        <v>12</v>
      </c>
      <c r="E442" s="7" t="s">
        <v>798</v>
      </c>
      <c r="F442" s="19"/>
      <c r="G442" s="4">
        <f>IF(F442&gt;0,F442,IF(PrefetchDBSummary!$C$10="B",AJ442,8))</f>
        <v>8</v>
      </c>
      <c r="H442" s="4">
        <f>PrefetchDBSummary!$C$33</f>
        <v>0</v>
      </c>
      <c r="I442" s="4">
        <f>PrefetchDBSummary!$C$33</f>
        <v>0</v>
      </c>
      <c r="J442" s="5">
        <f t="shared" si="81"/>
        <v>0</v>
      </c>
      <c r="K442" s="4">
        <f t="shared" si="82"/>
        <v>0</v>
      </c>
      <c r="L442" s="4">
        <f t="shared" si="83"/>
        <v>0</v>
      </c>
      <c r="M442" s="5">
        <f t="shared" si="84"/>
        <v>0</v>
      </c>
      <c r="N442" s="17">
        <f t="shared" si="86"/>
        <v>0</v>
      </c>
      <c r="O442" s="32">
        <f t="shared" si="87"/>
        <v>0</v>
      </c>
      <c r="AG442" t="s">
        <v>281</v>
      </c>
      <c r="AH442" t="s">
        <v>583</v>
      </c>
      <c r="AI442">
        <v>30</v>
      </c>
      <c r="AJ442">
        <v>8</v>
      </c>
      <c r="AK442">
        <v>3</v>
      </c>
      <c r="AL442">
        <v>0</v>
      </c>
      <c r="AM442">
        <v>103</v>
      </c>
      <c r="AN442">
        <v>103</v>
      </c>
      <c r="AO442">
        <v>96</v>
      </c>
      <c r="AQ442" s="27">
        <f t="shared" si="85"/>
        <v>1127.8000000000002</v>
      </c>
    </row>
    <row r="443" spans="1:43" ht="12.75">
      <c r="A443" s="1" t="s">
        <v>559</v>
      </c>
      <c r="B443" s="18" t="s">
        <v>571</v>
      </c>
      <c r="C443" t="s">
        <v>278</v>
      </c>
      <c r="D443" s="19">
        <v>0</v>
      </c>
      <c r="E443" s="7" t="s">
        <v>799</v>
      </c>
      <c r="F443" s="19"/>
      <c r="G443" s="4">
        <f>IF(F443&gt;0,F443,IF(PrefetchDBSummary!$C$10="B",AJ443,8))</f>
        <v>8</v>
      </c>
      <c r="H443" s="4">
        <f>PrefetchDBSummary!$C$33</f>
        <v>0</v>
      </c>
      <c r="I443" s="4">
        <f>PrefetchDBSummary!$C$33</f>
        <v>0</v>
      </c>
      <c r="J443" s="5">
        <f t="shared" si="81"/>
        <v>0</v>
      </c>
      <c r="K443" s="4">
        <f t="shared" si="82"/>
        <v>0</v>
      </c>
      <c r="L443" s="4">
        <f t="shared" si="83"/>
        <v>0</v>
      </c>
      <c r="M443" s="5">
        <f t="shared" si="84"/>
        <v>0</v>
      </c>
      <c r="N443" s="17">
        <f t="shared" si="86"/>
        <v>0</v>
      </c>
      <c r="O443" s="32">
        <f t="shared" si="87"/>
        <v>0</v>
      </c>
      <c r="AG443" t="s">
        <v>279</v>
      </c>
      <c r="AH443" t="s">
        <v>583</v>
      </c>
      <c r="AI443">
        <v>1</v>
      </c>
      <c r="AJ443">
        <v>15</v>
      </c>
      <c r="AK443">
        <v>4</v>
      </c>
      <c r="AL443">
        <v>0</v>
      </c>
      <c r="AM443">
        <v>168</v>
      </c>
      <c r="AN443">
        <v>168</v>
      </c>
      <c r="AO443">
        <v>160</v>
      </c>
      <c r="AQ443" s="27">
        <f t="shared" si="85"/>
        <v>326</v>
      </c>
    </row>
    <row r="444" spans="1:43" ht="12.75">
      <c r="A444" s="1" t="s">
        <v>559</v>
      </c>
      <c r="B444" s="18" t="s">
        <v>571</v>
      </c>
      <c r="C444" t="s">
        <v>400</v>
      </c>
      <c r="D444" s="19">
        <v>1</v>
      </c>
      <c r="E444" s="7" t="str">
        <f>IF(AH444="S","Always one row per interval","")</f>
        <v>Always one row per interval</v>
      </c>
      <c r="F444" s="19"/>
      <c r="G444" s="4">
        <f>IF(F444&gt;0,F444,IF(PrefetchDBSummary!$C$10="B",AJ444,8))</f>
        <v>8</v>
      </c>
      <c r="H444" s="4">
        <f>PrefetchDBSummary!$C$33</f>
        <v>0</v>
      </c>
      <c r="I444" s="4">
        <f>PrefetchDBSummary!$C$33</f>
        <v>0</v>
      </c>
      <c r="J444" s="5">
        <f t="shared" si="81"/>
        <v>0</v>
      </c>
      <c r="K444" s="4">
        <f t="shared" si="82"/>
        <v>0</v>
      </c>
      <c r="L444" s="4">
        <f t="shared" si="83"/>
        <v>0</v>
      </c>
      <c r="M444" s="5">
        <f t="shared" si="84"/>
        <v>0</v>
      </c>
      <c r="N444" s="17">
        <f t="shared" si="86"/>
        <v>0</v>
      </c>
      <c r="O444" s="32">
        <f t="shared" si="87"/>
        <v>0</v>
      </c>
      <c r="AG444" t="s">
        <v>401</v>
      </c>
      <c r="AH444" t="s">
        <v>582</v>
      </c>
      <c r="AI444">
        <v>30</v>
      </c>
      <c r="AJ444">
        <v>8</v>
      </c>
      <c r="AK444">
        <v>4</v>
      </c>
      <c r="AL444">
        <v>0</v>
      </c>
      <c r="AM444">
        <v>108</v>
      </c>
      <c r="AN444">
        <v>108</v>
      </c>
      <c r="AO444">
        <v>96</v>
      </c>
      <c r="AQ444" s="27">
        <f t="shared" si="85"/>
        <v>399.4</v>
      </c>
    </row>
    <row r="445" spans="1:43" ht="12.75">
      <c r="A445" s="1" t="s">
        <v>559</v>
      </c>
      <c r="B445" s="18" t="s">
        <v>571</v>
      </c>
      <c r="C445" t="s">
        <v>398</v>
      </c>
      <c r="D445" s="19">
        <v>1</v>
      </c>
      <c r="E445" s="7" t="str">
        <f>IF(AH445="S","Always one row per interval","")</f>
        <v>Always one row per interval</v>
      </c>
      <c r="F445" s="19"/>
      <c r="G445" s="4">
        <f>IF(F445&gt;0,F445,IF(PrefetchDBSummary!$C$10="B",AJ445,8))</f>
        <v>8</v>
      </c>
      <c r="H445" s="4">
        <f>PrefetchDBSummary!$C$33</f>
        <v>0</v>
      </c>
      <c r="I445" s="4">
        <f>PrefetchDBSummary!$C$33</f>
        <v>0</v>
      </c>
      <c r="J445" s="5">
        <f t="shared" si="81"/>
        <v>0</v>
      </c>
      <c r="K445" s="4">
        <f t="shared" si="82"/>
        <v>0</v>
      </c>
      <c r="L445" s="4">
        <f t="shared" si="83"/>
        <v>0</v>
      </c>
      <c r="M445" s="5">
        <f t="shared" si="84"/>
        <v>0</v>
      </c>
      <c r="N445" s="17">
        <f t="shared" si="86"/>
        <v>0</v>
      </c>
      <c r="O445" s="32">
        <f t="shared" si="87"/>
        <v>0</v>
      </c>
      <c r="AG445" t="s">
        <v>399</v>
      </c>
      <c r="AH445" t="s">
        <v>582</v>
      </c>
      <c r="AI445">
        <v>1</v>
      </c>
      <c r="AJ445">
        <v>8</v>
      </c>
      <c r="AK445">
        <v>3</v>
      </c>
      <c r="AL445">
        <v>0</v>
      </c>
      <c r="AM445">
        <v>163</v>
      </c>
      <c r="AN445">
        <v>163</v>
      </c>
      <c r="AO445">
        <v>160</v>
      </c>
      <c r="AQ445" s="27">
        <f t="shared" si="85"/>
        <v>397</v>
      </c>
    </row>
    <row r="446" spans="1:43" ht="12.75">
      <c r="A446" s="1" t="s">
        <v>559</v>
      </c>
      <c r="B446" s="18" t="s">
        <v>571</v>
      </c>
      <c r="C446" t="s">
        <v>161</v>
      </c>
      <c r="D446" s="19">
        <v>6</v>
      </c>
      <c r="E446" s="7" t="s">
        <v>800</v>
      </c>
      <c r="F446" s="19"/>
      <c r="G446" s="4">
        <f>IF(F446&gt;0,F446,IF(PrefetchDBSummary!$C$10="B",AJ446,8))</f>
        <v>8</v>
      </c>
      <c r="H446" s="4">
        <f>PrefetchDBSummary!$C$33</f>
        <v>0</v>
      </c>
      <c r="I446" s="4">
        <f>PrefetchDBSummary!$C$33</f>
        <v>0</v>
      </c>
      <c r="J446" s="5">
        <f t="shared" si="81"/>
        <v>0</v>
      </c>
      <c r="K446" s="4">
        <f t="shared" si="82"/>
        <v>0</v>
      </c>
      <c r="L446" s="4">
        <f t="shared" si="83"/>
        <v>0</v>
      </c>
      <c r="M446" s="5">
        <f t="shared" si="84"/>
        <v>0</v>
      </c>
      <c r="N446" s="17">
        <f t="shared" si="86"/>
        <v>0</v>
      </c>
      <c r="O446" s="32">
        <f t="shared" si="87"/>
        <v>0</v>
      </c>
      <c r="AG446" t="s">
        <v>162</v>
      </c>
      <c r="AH446" t="s">
        <v>583</v>
      </c>
      <c r="AI446">
        <v>1</v>
      </c>
      <c r="AJ446">
        <v>15</v>
      </c>
      <c r="AK446">
        <v>7</v>
      </c>
      <c r="AL446">
        <v>0</v>
      </c>
      <c r="AM446">
        <v>363</v>
      </c>
      <c r="AN446">
        <v>363</v>
      </c>
      <c r="AO446">
        <v>352</v>
      </c>
      <c r="AQ446" s="27">
        <f t="shared" si="85"/>
        <v>1431.8000000000002</v>
      </c>
    </row>
    <row r="447" spans="1:43" ht="12.75">
      <c r="A447" s="1" t="s">
        <v>559</v>
      </c>
      <c r="B447" s="18" t="s">
        <v>571</v>
      </c>
      <c r="C447" t="s">
        <v>159</v>
      </c>
      <c r="D447" s="19">
        <v>8</v>
      </c>
      <c r="E447" s="7" t="s">
        <v>801</v>
      </c>
      <c r="F447" s="19"/>
      <c r="G447" s="4">
        <f>IF(F447&gt;0,F447,IF(PrefetchDBSummary!$C$10="B",AJ447,8))</f>
        <v>8</v>
      </c>
      <c r="H447" s="4">
        <f>PrefetchDBSummary!$C$33</f>
        <v>0</v>
      </c>
      <c r="I447" s="4">
        <f>PrefetchDBSummary!$C$33</f>
        <v>0</v>
      </c>
      <c r="J447" s="5">
        <f aca="true" t="shared" si="88" ref="J447:J510">IF(H447&gt;0,(AQ447)/(AI447*60),IF(I447&gt;0,(AQ447)/(5*60),0))</f>
        <v>0</v>
      </c>
      <c r="K447" s="4">
        <f aca="true" t="shared" si="89" ref="K447:K510">IF(H447&gt;0,D447/AI447,IF(I447&gt;0,D447/5,0))</f>
        <v>0</v>
      </c>
      <c r="L447" s="4">
        <f aca="true" t="shared" si="90" ref="L447:L510">H447*D447/AI447+I447*D447/5</f>
        <v>0</v>
      </c>
      <c r="M447" s="5">
        <f aca="true" t="shared" si="91" ref="M447:M510">L447*AM447*(1-IF(AP447&gt;0,AP447,$AS$2)*$AS$3)/1024</f>
        <v>0</v>
      </c>
      <c r="N447" s="17">
        <f t="shared" si="86"/>
        <v>0</v>
      </c>
      <c r="O447" s="32">
        <f t="shared" si="87"/>
        <v>0</v>
      </c>
      <c r="AG447" t="s">
        <v>160</v>
      </c>
      <c r="AH447" t="s">
        <v>583</v>
      </c>
      <c r="AI447">
        <v>1</v>
      </c>
      <c r="AJ447">
        <v>15</v>
      </c>
      <c r="AK447">
        <v>20</v>
      </c>
      <c r="AL447">
        <v>17</v>
      </c>
      <c r="AM447">
        <v>356</v>
      </c>
      <c r="AN447">
        <v>995</v>
      </c>
      <c r="AO447">
        <v>132</v>
      </c>
      <c r="AQ447" s="27">
        <f t="shared" si="85"/>
        <v>3028.4</v>
      </c>
    </row>
    <row r="448" spans="1:43" ht="12.75">
      <c r="A448" s="1" t="s">
        <v>560</v>
      </c>
      <c r="B448" s="18" t="s">
        <v>572</v>
      </c>
      <c r="C448" t="s">
        <v>685</v>
      </c>
      <c r="D448" s="19">
        <v>2</v>
      </c>
      <c r="E448" s="7" t="s">
        <v>803</v>
      </c>
      <c r="F448" s="19"/>
      <c r="G448" s="4">
        <f>IF(F448&gt;0,F448,IF(PrefetchDBSummary!$C$10="B",AJ448,8))</f>
        <v>8</v>
      </c>
      <c r="H448" s="4">
        <f>PrefetchDBSummary!$C$35</f>
        <v>0</v>
      </c>
      <c r="I448" s="4">
        <f>PrefetchDBSummary!$D$35</f>
        <v>0</v>
      </c>
      <c r="J448" s="5">
        <f t="shared" si="88"/>
        <v>0</v>
      </c>
      <c r="K448" s="4">
        <f t="shared" si="89"/>
        <v>0</v>
      </c>
      <c r="L448" s="4">
        <f t="shared" si="90"/>
        <v>0</v>
      </c>
      <c r="M448" s="5">
        <f t="shared" si="91"/>
        <v>0</v>
      </c>
      <c r="N448" s="17">
        <f t="shared" si="86"/>
        <v>0</v>
      </c>
      <c r="O448" s="32">
        <f t="shared" si="87"/>
        <v>0</v>
      </c>
      <c r="AG448" t="s">
        <v>686</v>
      </c>
      <c r="AH448" t="s">
        <v>583</v>
      </c>
      <c r="AI448">
        <v>1</v>
      </c>
      <c r="AJ448">
        <v>15</v>
      </c>
      <c r="AK448">
        <v>4</v>
      </c>
      <c r="AL448">
        <v>1</v>
      </c>
      <c r="AM448">
        <v>132</v>
      </c>
      <c r="AN448">
        <v>183</v>
      </c>
      <c r="AO448">
        <v>96</v>
      </c>
      <c r="AQ448" s="27">
        <f aca="true" t="shared" si="92" ref="AQ448:AQ511">250+19*AK448+D448*(23+(AM448-AO448)+AO448*(1-IF(AP448&gt;0,AP448,$AS$2)))</f>
        <v>520.8</v>
      </c>
    </row>
    <row r="449" spans="1:43" ht="12.75">
      <c r="A449" s="1" t="s">
        <v>560</v>
      </c>
      <c r="B449" s="18" t="s">
        <v>572</v>
      </c>
      <c r="C449" t="s">
        <v>35</v>
      </c>
      <c r="D449" s="19">
        <v>2</v>
      </c>
      <c r="E449" s="7" t="s">
        <v>802</v>
      </c>
      <c r="F449" s="19"/>
      <c r="G449" s="4">
        <f>IF(F449&gt;0,F449,IF(PrefetchDBSummary!$C$10="B",AJ449,8))</f>
        <v>8</v>
      </c>
      <c r="H449" s="4">
        <f>PrefetchDBSummary!$C$35</f>
        <v>0</v>
      </c>
      <c r="I449" s="4">
        <f>PrefetchDBSummary!$D$35</f>
        <v>0</v>
      </c>
      <c r="J449" s="5">
        <f t="shared" si="88"/>
        <v>0</v>
      </c>
      <c r="K449" s="4">
        <f t="shared" si="89"/>
        <v>0</v>
      </c>
      <c r="L449" s="4">
        <f t="shared" si="90"/>
        <v>0</v>
      </c>
      <c r="M449" s="5">
        <f t="shared" si="91"/>
        <v>0</v>
      </c>
      <c r="N449" s="17">
        <f t="shared" si="86"/>
        <v>0</v>
      </c>
      <c r="O449" s="32">
        <f t="shared" si="87"/>
        <v>0</v>
      </c>
      <c r="AG449" t="s">
        <v>36</v>
      </c>
      <c r="AH449" t="s">
        <v>583</v>
      </c>
      <c r="AI449">
        <v>1</v>
      </c>
      <c r="AJ449">
        <v>15</v>
      </c>
      <c r="AK449">
        <v>11</v>
      </c>
      <c r="AL449">
        <v>6</v>
      </c>
      <c r="AM449">
        <v>210</v>
      </c>
      <c r="AN449">
        <v>396</v>
      </c>
      <c r="AO449">
        <v>132</v>
      </c>
      <c r="AQ449" s="27">
        <f t="shared" si="92"/>
        <v>766.6</v>
      </c>
    </row>
    <row r="450" spans="1:43" ht="12.75">
      <c r="A450" s="1" t="s">
        <v>560</v>
      </c>
      <c r="B450" s="18" t="s">
        <v>572</v>
      </c>
      <c r="C450" t="s">
        <v>1405</v>
      </c>
      <c r="D450" s="19"/>
      <c r="E450" s="7"/>
      <c r="F450" s="19"/>
      <c r="G450" s="4">
        <f>IF(F450&gt;0,F450,IF(PrefetchDBSummary!$C$10="B",AJ450,8))</f>
        <v>8</v>
      </c>
      <c r="H450" s="4">
        <f>PrefetchDBSummary!$C$35</f>
        <v>0</v>
      </c>
      <c r="I450" s="4">
        <f>PrefetchDBSummary!$D$35</f>
        <v>0</v>
      </c>
      <c r="J450" s="5">
        <f t="shared" si="88"/>
        <v>0</v>
      </c>
      <c r="K450" s="4">
        <f t="shared" si="89"/>
        <v>0</v>
      </c>
      <c r="L450" s="4">
        <f t="shared" si="90"/>
        <v>0</v>
      </c>
      <c r="M450" s="5">
        <f t="shared" si="91"/>
        <v>0</v>
      </c>
      <c r="N450" s="17">
        <f t="shared" si="86"/>
        <v>0</v>
      </c>
      <c r="O450" s="32">
        <f t="shared" si="87"/>
        <v>0</v>
      </c>
      <c r="AG450" t="s">
        <v>1409</v>
      </c>
      <c r="AH450" t="s">
        <v>583</v>
      </c>
      <c r="AI450">
        <v>5</v>
      </c>
      <c r="AJ450">
        <v>32</v>
      </c>
      <c r="AK450">
        <v>11</v>
      </c>
      <c r="AL450">
        <v>4</v>
      </c>
      <c r="AM450">
        <v>1415</v>
      </c>
      <c r="AN450">
        <v>1607</v>
      </c>
      <c r="AO450">
        <v>1336</v>
      </c>
      <c r="AQ450" s="27">
        <f t="shared" si="92"/>
        <v>459</v>
      </c>
    </row>
    <row r="451" spans="1:43" ht="12.75">
      <c r="A451" s="1" t="s">
        <v>560</v>
      </c>
      <c r="B451" s="18" t="s">
        <v>572</v>
      </c>
      <c r="C451" t="s">
        <v>1406</v>
      </c>
      <c r="D451" s="19">
        <v>2</v>
      </c>
      <c r="E451" s="7" t="s">
        <v>802</v>
      </c>
      <c r="F451" s="19"/>
      <c r="G451" s="4">
        <f>IF(F451&gt;0,F451,IF(PrefetchDBSummary!$C$10="B",AJ451,8))</f>
        <v>8</v>
      </c>
      <c r="H451" s="4">
        <f>PrefetchDBSummary!$C$35</f>
        <v>0</v>
      </c>
      <c r="I451" s="4">
        <f>PrefetchDBSummary!$D$35</f>
        <v>0</v>
      </c>
      <c r="J451" s="5">
        <f t="shared" si="88"/>
        <v>0</v>
      </c>
      <c r="K451" s="4">
        <f t="shared" si="89"/>
        <v>0</v>
      </c>
      <c r="L451" s="4">
        <f t="shared" si="90"/>
        <v>0</v>
      </c>
      <c r="M451" s="5">
        <f t="shared" si="91"/>
        <v>0</v>
      </c>
      <c r="N451" s="17">
        <f t="shared" si="86"/>
        <v>0</v>
      </c>
      <c r="O451" s="32">
        <f t="shared" si="87"/>
        <v>0</v>
      </c>
      <c r="AG451" t="s">
        <v>1410</v>
      </c>
      <c r="AH451" t="s">
        <v>583</v>
      </c>
      <c r="AI451">
        <v>5</v>
      </c>
      <c r="AJ451">
        <v>32</v>
      </c>
      <c r="AK451">
        <v>4</v>
      </c>
      <c r="AL451">
        <v>2</v>
      </c>
      <c r="AM451">
        <v>108</v>
      </c>
      <c r="AN451">
        <v>186</v>
      </c>
      <c r="AO451">
        <v>96</v>
      </c>
      <c r="AQ451" s="27">
        <f t="shared" si="92"/>
        <v>472.8</v>
      </c>
    </row>
    <row r="452" spans="1:43" ht="15">
      <c r="A452" s="1" t="s">
        <v>560</v>
      </c>
      <c r="B452" s="18" t="s">
        <v>572</v>
      </c>
      <c r="C452" t="s">
        <v>932</v>
      </c>
      <c r="D452" s="19">
        <v>2</v>
      </c>
      <c r="E452" s="7" t="s">
        <v>802</v>
      </c>
      <c r="F452" s="19"/>
      <c r="G452" s="4">
        <f>IF(F452&gt;0,F452,IF(PrefetchDBSummary!$C$10="B",AJ452,8))</f>
        <v>8</v>
      </c>
      <c r="H452" s="4">
        <f>PrefetchDBSummary!$C$35</f>
        <v>0</v>
      </c>
      <c r="I452" s="4">
        <f>PrefetchDBSummary!$D$35</f>
        <v>0</v>
      </c>
      <c r="J452" s="5">
        <f t="shared" si="88"/>
        <v>0</v>
      </c>
      <c r="K452" s="4">
        <f t="shared" si="89"/>
        <v>0</v>
      </c>
      <c r="L452" s="4">
        <f t="shared" si="90"/>
        <v>0</v>
      </c>
      <c r="M452" s="5">
        <f t="shared" si="91"/>
        <v>0</v>
      </c>
      <c r="N452" s="17">
        <f t="shared" si="86"/>
        <v>0</v>
      </c>
      <c r="O452" s="32">
        <f t="shared" si="87"/>
        <v>0</v>
      </c>
      <c r="AG452" t="s">
        <v>872</v>
      </c>
      <c r="AH452" t="s">
        <v>583</v>
      </c>
      <c r="AI452">
        <v>1</v>
      </c>
      <c r="AJ452">
        <v>8</v>
      </c>
      <c r="AK452">
        <v>9</v>
      </c>
      <c r="AL452">
        <v>4</v>
      </c>
      <c r="AM452">
        <v>373</v>
      </c>
      <c r="AN452">
        <v>529</v>
      </c>
      <c r="AO452">
        <v>332</v>
      </c>
      <c r="AP452" s="45">
        <v>0.8182989690721649</v>
      </c>
      <c r="AQ452" s="27">
        <f t="shared" si="92"/>
        <v>669.6494845360825</v>
      </c>
    </row>
    <row r="453" spans="1:43" ht="15">
      <c r="A453" s="1" t="s">
        <v>560</v>
      </c>
      <c r="B453" s="18" t="s">
        <v>572</v>
      </c>
      <c r="C453" t="s">
        <v>495</v>
      </c>
      <c r="D453" s="19">
        <v>2</v>
      </c>
      <c r="E453" s="7" t="s">
        <v>800</v>
      </c>
      <c r="F453" s="19"/>
      <c r="G453" s="4">
        <f>IF(F453&gt;0,F453,IF(PrefetchDBSummary!$C$10="B",AJ453,8))</f>
        <v>8</v>
      </c>
      <c r="H453" s="4">
        <f>PrefetchDBSummary!$C$35</f>
        <v>0</v>
      </c>
      <c r="I453" s="4">
        <f>PrefetchDBSummary!$D$35</f>
        <v>0</v>
      </c>
      <c r="J453" s="5">
        <f t="shared" si="88"/>
        <v>0</v>
      </c>
      <c r="K453" s="4">
        <f t="shared" si="89"/>
        <v>0</v>
      </c>
      <c r="L453" s="4">
        <f t="shared" si="90"/>
        <v>0</v>
      </c>
      <c r="M453" s="5">
        <f t="shared" si="91"/>
        <v>0</v>
      </c>
      <c r="N453" s="17">
        <f t="shared" si="86"/>
        <v>0</v>
      </c>
      <c r="O453" s="32">
        <f t="shared" si="87"/>
        <v>0</v>
      </c>
      <c r="AG453" t="s">
        <v>496</v>
      </c>
      <c r="AH453" t="s">
        <v>583</v>
      </c>
      <c r="AI453">
        <v>60</v>
      </c>
      <c r="AJ453">
        <v>8</v>
      </c>
      <c r="AK453">
        <v>4</v>
      </c>
      <c r="AL453">
        <v>0</v>
      </c>
      <c r="AM453">
        <v>228</v>
      </c>
      <c r="AN453">
        <v>228</v>
      </c>
      <c r="AO453">
        <v>224</v>
      </c>
      <c r="AP453" s="45">
        <v>0.765625</v>
      </c>
      <c r="AQ453" s="27">
        <f t="shared" si="92"/>
        <v>485</v>
      </c>
    </row>
    <row r="454" spans="1:43" ht="15">
      <c r="A454" s="1" t="s">
        <v>560</v>
      </c>
      <c r="B454" s="18" t="s">
        <v>572</v>
      </c>
      <c r="C454" t="s">
        <v>29</v>
      </c>
      <c r="D454" s="19">
        <v>3</v>
      </c>
      <c r="E454" s="7" t="s">
        <v>804</v>
      </c>
      <c r="F454" s="19"/>
      <c r="G454" s="4">
        <f>IF(F454&gt;0,F454,IF(PrefetchDBSummary!$C$10="B",AJ454,8))</f>
        <v>8</v>
      </c>
      <c r="H454" s="4">
        <f>PrefetchDBSummary!$C$35</f>
        <v>0</v>
      </c>
      <c r="I454" s="4">
        <f>PrefetchDBSummary!$D$35</f>
        <v>0</v>
      </c>
      <c r="J454" s="5">
        <f t="shared" si="88"/>
        <v>0</v>
      </c>
      <c r="K454" s="4">
        <f t="shared" si="89"/>
        <v>0</v>
      </c>
      <c r="L454" s="4">
        <f t="shared" si="90"/>
        <v>0</v>
      </c>
      <c r="M454" s="5">
        <f t="shared" si="91"/>
        <v>0</v>
      </c>
      <c r="N454" s="17">
        <f t="shared" si="86"/>
        <v>0</v>
      </c>
      <c r="O454" s="32">
        <f t="shared" si="87"/>
        <v>0</v>
      </c>
      <c r="AG454" t="s">
        <v>30</v>
      </c>
      <c r="AH454" t="s">
        <v>583</v>
      </c>
      <c r="AI454">
        <v>3</v>
      </c>
      <c r="AJ454">
        <v>8</v>
      </c>
      <c r="AK454">
        <v>4</v>
      </c>
      <c r="AL454">
        <v>2</v>
      </c>
      <c r="AM454">
        <v>120</v>
      </c>
      <c r="AN454">
        <v>186</v>
      </c>
      <c r="AO454">
        <v>96</v>
      </c>
      <c r="AP454" s="45">
        <v>1</v>
      </c>
      <c r="AQ454" s="27">
        <f t="shared" si="92"/>
        <v>467</v>
      </c>
    </row>
    <row r="455" spans="1:43" ht="15">
      <c r="A455" s="1" t="s">
        <v>560</v>
      </c>
      <c r="B455" s="18" t="s">
        <v>572</v>
      </c>
      <c r="C455" t="s">
        <v>1407</v>
      </c>
      <c r="D455" s="19">
        <v>3</v>
      </c>
      <c r="E455" s="7" t="s">
        <v>804</v>
      </c>
      <c r="F455" s="19"/>
      <c r="G455" s="4">
        <f>IF(F455&gt;0,F455,IF(PrefetchDBSummary!$C$10="B",AJ455,8))</f>
        <v>8</v>
      </c>
      <c r="H455" s="4">
        <f>PrefetchDBSummary!$C$35</f>
        <v>0</v>
      </c>
      <c r="I455" s="4">
        <f>PrefetchDBSummary!$D$35</f>
        <v>0</v>
      </c>
      <c r="J455" s="5">
        <f t="shared" si="88"/>
        <v>0</v>
      </c>
      <c r="K455" s="4">
        <f t="shared" si="89"/>
        <v>0</v>
      </c>
      <c r="L455" s="4">
        <f t="shared" si="90"/>
        <v>0</v>
      </c>
      <c r="M455" s="5">
        <f t="shared" si="91"/>
        <v>0</v>
      </c>
      <c r="N455" s="17">
        <f t="shared" si="86"/>
        <v>0</v>
      </c>
      <c r="O455" s="32">
        <f t="shared" si="87"/>
        <v>0</v>
      </c>
      <c r="AG455" t="s">
        <v>1411</v>
      </c>
      <c r="AH455" t="s">
        <v>583</v>
      </c>
      <c r="AI455">
        <v>3</v>
      </c>
      <c r="AJ455">
        <v>8</v>
      </c>
      <c r="AK455">
        <v>4</v>
      </c>
      <c r="AL455">
        <v>2</v>
      </c>
      <c r="AM455">
        <v>120</v>
      </c>
      <c r="AN455">
        <v>186</v>
      </c>
      <c r="AO455">
        <v>96</v>
      </c>
      <c r="AP455" s="45"/>
      <c r="AQ455" s="27">
        <f t="shared" si="92"/>
        <v>582.2</v>
      </c>
    </row>
    <row r="456" spans="1:43" ht="15">
      <c r="A456" s="1" t="s">
        <v>560</v>
      </c>
      <c r="B456" s="18" t="s">
        <v>572</v>
      </c>
      <c r="C456" t="s">
        <v>31</v>
      </c>
      <c r="D456" s="19">
        <v>3</v>
      </c>
      <c r="E456" s="7" t="s">
        <v>804</v>
      </c>
      <c r="F456" s="19"/>
      <c r="G456" s="4">
        <f>IF(F456&gt;0,F456,IF(PrefetchDBSummary!$C$10="B",AJ456,8))</f>
        <v>8</v>
      </c>
      <c r="H456" s="4">
        <f>PrefetchDBSummary!$C$35</f>
        <v>0</v>
      </c>
      <c r="I456" s="4">
        <f>PrefetchDBSummary!$D$35</f>
        <v>0</v>
      </c>
      <c r="J456" s="5">
        <f t="shared" si="88"/>
        <v>0</v>
      </c>
      <c r="K456" s="4">
        <f t="shared" si="89"/>
        <v>0</v>
      </c>
      <c r="L456" s="4">
        <f t="shared" si="90"/>
        <v>0</v>
      </c>
      <c r="M456" s="5">
        <f t="shared" si="91"/>
        <v>0</v>
      </c>
      <c r="N456" s="17">
        <f t="shared" si="86"/>
        <v>0</v>
      </c>
      <c r="O456" s="32">
        <f t="shared" si="87"/>
        <v>0</v>
      </c>
      <c r="AG456" t="s">
        <v>32</v>
      </c>
      <c r="AH456" t="s">
        <v>583</v>
      </c>
      <c r="AI456">
        <v>1</v>
      </c>
      <c r="AJ456">
        <v>8</v>
      </c>
      <c r="AK456">
        <v>16</v>
      </c>
      <c r="AL456">
        <v>13</v>
      </c>
      <c r="AM456">
        <v>188</v>
      </c>
      <c r="AN456">
        <v>631</v>
      </c>
      <c r="AO456">
        <v>96</v>
      </c>
      <c r="AP456" s="45">
        <v>0.6145833333333333</v>
      </c>
      <c r="AQ456" s="27">
        <f t="shared" si="92"/>
        <v>1010</v>
      </c>
    </row>
    <row r="457" spans="1:43" ht="15">
      <c r="A457" s="1" t="s">
        <v>560</v>
      </c>
      <c r="B457" s="18" t="s">
        <v>572</v>
      </c>
      <c r="C457" t="s">
        <v>1408</v>
      </c>
      <c r="D457" s="19">
        <v>3</v>
      </c>
      <c r="E457" s="7" t="s">
        <v>804</v>
      </c>
      <c r="F457" s="19"/>
      <c r="G457" s="4">
        <f>IF(F457&gt;0,F457,IF(PrefetchDBSummary!$C$10="B",AJ457,8))</f>
        <v>8</v>
      </c>
      <c r="H457" s="4">
        <f>PrefetchDBSummary!$C$35</f>
        <v>0</v>
      </c>
      <c r="I457" s="4">
        <f>PrefetchDBSummary!$D$35</f>
        <v>0</v>
      </c>
      <c r="J457" s="5">
        <f t="shared" si="88"/>
        <v>0</v>
      </c>
      <c r="K457" s="4">
        <f t="shared" si="89"/>
        <v>0</v>
      </c>
      <c r="L457" s="4">
        <f t="shared" si="90"/>
        <v>0</v>
      </c>
      <c r="M457" s="5">
        <f t="shared" si="91"/>
        <v>0</v>
      </c>
      <c r="N457" s="17">
        <f t="shared" si="86"/>
        <v>0</v>
      </c>
      <c r="O457" s="32">
        <f t="shared" si="87"/>
        <v>0</v>
      </c>
      <c r="AG457" t="s">
        <v>1412</v>
      </c>
      <c r="AH457" t="s">
        <v>583</v>
      </c>
      <c r="AI457">
        <v>3</v>
      </c>
      <c r="AJ457">
        <v>8</v>
      </c>
      <c r="AK457">
        <v>8</v>
      </c>
      <c r="AL457">
        <v>5</v>
      </c>
      <c r="AM457">
        <v>164</v>
      </c>
      <c r="AN457">
        <v>335</v>
      </c>
      <c r="AO457">
        <v>96</v>
      </c>
      <c r="AP457" s="45"/>
      <c r="AQ457" s="27">
        <f t="shared" si="92"/>
        <v>790.2</v>
      </c>
    </row>
    <row r="458" spans="1:43" ht="15">
      <c r="A458" s="1" t="s">
        <v>560</v>
      </c>
      <c r="B458" s="18" t="s">
        <v>572</v>
      </c>
      <c r="C458" t="s">
        <v>37</v>
      </c>
      <c r="D458" s="19">
        <v>2</v>
      </c>
      <c r="E458" s="7" t="s">
        <v>805</v>
      </c>
      <c r="F458" s="19"/>
      <c r="G458" s="4">
        <f>IF(F458&gt;0,F458,IF(PrefetchDBSummary!$C$10="B",AJ458,8))</f>
        <v>8</v>
      </c>
      <c r="H458" s="4">
        <f>PrefetchDBSummary!$C$35</f>
        <v>0</v>
      </c>
      <c r="I458" s="4">
        <f>PrefetchDBSummary!$D$35</f>
        <v>0</v>
      </c>
      <c r="J458" s="5">
        <f t="shared" si="88"/>
        <v>0</v>
      </c>
      <c r="K458" s="4">
        <f t="shared" si="89"/>
        <v>0</v>
      </c>
      <c r="L458" s="4">
        <f t="shared" si="90"/>
        <v>0</v>
      </c>
      <c r="M458" s="5">
        <f t="shared" si="91"/>
        <v>0</v>
      </c>
      <c r="N458" s="17">
        <f t="shared" si="86"/>
        <v>0</v>
      </c>
      <c r="O458" s="32">
        <f t="shared" si="87"/>
        <v>0</v>
      </c>
      <c r="AG458" t="s">
        <v>38</v>
      </c>
      <c r="AH458" t="s">
        <v>583</v>
      </c>
      <c r="AI458">
        <v>3</v>
      </c>
      <c r="AJ458">
        <v>8</v>
      </c>
      <c r="AK458">
        <v>8</v>
      </c>
      <c r="AL458">
        <v>4</v>
      </c>
      <c r="AM458">
        <v>176</v>
      </c>
      <c r="AN458">
        <v>332</v>
      </c>
      <c r="AO458">
        <v>132</v>
      </c>
      <c r="AP458" s="45">
        <v>0.6931818181818181</v>
      </c>
      <c r="AQ458" s="27">
        <f t="shared" si="92"/>
        <v>617</v>
      </c>
    </row>
    <row r="459" spans="1:43" ht="13.5" customHeight="1">
      <c r="A459" s="1" t="s">
        <v>560</v>
      </c>
      <c r="B459" s="18" t="s">
        <v>572</v>
      </c>
      <c r="C459" t="s">
        <v>33</v>
      </c>
      <c r="D459" s="19"/>
      <c r="E459" s="7" t="s">
        <v>715</v>
      </c>
      <c r="F459" s="19"/>
      <c r="G459" s="4">
        <f>IF(F459&gt;0,F459,IF(PrefetchDBSummary!$C$10="B",AJ459,8))</f>
        <v>8</v>
      </c>
      <c r="H459" s="4">
        <f>PrefetchDBSummary!$C$35</f>
        <v>0</v>
      </c>
      <c r="I459" s="4">
        <f>PrefetchDBSummary!$D$35</f>
        <v>0</v>
      </c>
      <c r="J459" s="5">
        <f t="shared" si="88"/>
        <v>0</v>
      </c>
      <c r="K459" s="4">
        <f t="shared" si="89"/>
        <v>0</v>
      </c>
      <c r="L459" s="4">
        <f t="shared" si="90"/>
        <v>0</v>
      </c>
      <c r="M459" s="5">
        <f t="shared" si="91"/>
        <v>0</v>
      </c>
      <c r="N459" s="17">
        <f t="shared" si="86"/>
        <v>0</v>
      </c>
      <c r="O459" s="32">
        <f t="shared" si="87"/>
        <v>0</v>
      </c>
      <c r="AG459" t="s">
        <v>34</v>
      </c>
      <c r="AH459" t="s">
        <v>583</v>
      </c>
      <c r="AI459">
        <v>1</v>
      </c>
      <c r="AJ459">
        <v>15</v>
      </c>
      <c r="AK459">
        <v>3</v>
      </c>
      <c r="AL459">
        <v>1</v>
      </c>
      <c r="AM459">
        <v>151</v>
      </c>
      <c r="AN459">
        <v>202</v>
      </c>
      <c r="AO459">
        <v>132</v>
      </c>
      <c r="AP459" s="45">
        <v>0</v>
      </c>
      <c r="AQ459" s="27">
        <f t="shared" si="92"/>
        <v>307</v>
      </c>
    </row>
    <row r="460" spans="1:43" ht="13.5" customHeight="1">
      <c r="A460" s="1" t="s">
        <v>560</v>
      </c>
      <c r="B460" s="18" t="s">
        <v>572</v>
      </c>
      <c r="C460" t="s">
        <v>687</v>
      </c>
      <c r="D460" s="19"/>
      <c r="E460" s="7" t="s">
        <v>806</v>
      </c>
      <c r="F460" s="19"/>
      <c r="G460" s="4">
        <f>IF(F460&gt;0,F460,IF(PrefetchDBSummary!$C$10="B",AJ460,8))</f>
        <v>8</v>
      </c>
      <c r="H460" s="4">
        <f>PrefetchDBSummary!$C$35</f>
        <v>0</v>
      </c>
      <c r="I460" s="4">
        <f>PrefetchDBSummary!$D$35</f>
        <v>0</v>
      </c>
      <c r="J460" s="5">
        <f t="shared" si="88"/>
        <v>0</v>
      </c>
      <c r="K460" s="4">
        <f t="shared" si="89"/>
        <v>0</v>
      </c>
      <c r="L460" s="4">
        <f t="shared" si="90"/>
        <v>0</v>
      </c>
      <c r="M460" s="5">
        <f t="shared" si="91"/>
        <v>0</v>
      </c>
      <c r="N460" s="17">
        <f t="shared" si="86"/>
        <v>0</v>
      </c>
      <c r="O460" s="32">
        <f t="shared" si="87"/>
        <v>0</v>
      </c>
      <c r="AG460" t="s">
        <v>688</v>
      </c>
      <c r="AH460" t="s">
        <v>583</v>
      </c>
      <c r="AI460">
        <v>1</v>
      </c>
      <c r="AJ460">
        <v>8</v>
      </c>
      <c r="AK460">
        <v>9</v>
      </c>
      <c r="AL460">
        <v>4</v>
      </c>
      <c r="AM460">
        <v>373</v>
      </c>
      <c r="AN460">
        <v>529</v>
      </c>
      <c r="AO460">
        <v>332</v>
      </c>
      <c r="AP460" s="45"/>
      <c r="AQ460" s="27">
        <f t="shared" si="92"/>
        <v>421</v>
      </c>
    </row>
    <row r="461" spans="1:43" ht="13.5" customHeight="1">
      <c r="A461" s="1" t="s">
        <v>561</v>
      </c>
      <c r="B461" s="7" t="s">
        <v>2035</v>
      </c>
      <c r="C461" t="s">
        <v>301</v>
      </c>
      <c r="D461" s="60">
        <f>PrefetchDBSummary!$E$23</f>
        <v>600</v>
      </c>
      <c r="E461" s="7" t="s">
        <v>1318</v>
      </c>
      <c r="F461" s="19"/>
      <c r="G461" s="4">
        <f>IF(F461&gt;0,F461,IF(PrefetchDBSummary!$C$10="B",AJ461,8))</f>
        <v>8</v>
      </c>
      <c r="H461" s="4">
        <f>PrefetchDBSummary!C$23</f>
        <v>0</v>
      </c>
      <c r="I461" s="4">
        <f>PrefetchDBSummary!D$23</f>
        <v>0</v>
      </c>
      <c r="J461" s="5">
        <f t="shared" si="88"/>
        <v>0</v>
      </c>
      <c r="K461" s="4">
        <f t="shared" si="89"/>
        <v>0</v>
      </c>
      <c r="L461" s="4">
        <f t="shared" si="90"/>
        <v>0</v>
      </c>
      <c r="M461" s="5">
        <f t="shared" si="91"/>
        <v>0</v>
      </c>
      <c r="N461" s="17">
        <f t="shared" si="86"/>
        <v>0</v>
      </c>
      <c r="O461" s="32">
        <f t="shared" si="87"/>
        <v>0</v>
      </c>
      <c r="AG461" t="s">
        <v>302</v>
      </c>
      <c r="AH461" t="s">
        <v>583</v>
      </c>
      <c r="AI461">
        <v>5</v>
      </c>
      <c r="AJ461">
        <v>8</v>
      </c>
      <c r="AK461">
        <v>26</v>
      </c>
      <c r="AL461">
        <v>19</v>
      </c>
      <c r="AM461">
        <v>1578</v>
      </c>
      <c r="AN461">
        <v>1972</v>
      </c>
      <c r="AO461">
        <v>1408</v>
      </c>
      <c r="AQ461" s="27">
        <f t="shared" si="92"/>
        <v>454464</v>
      </c>
    </row>
    <row r="462" spans="1:43" ht="13.5" customHeight="1">
      <c r="A462" s="1" t="s">
        <v>561</v>
      </c>
      <c r="B462" s="7" t="s">
        <v>2035</v>
      </c>
      <c r="C462" t="s">
        <v>873</v>
      </c>
      <c r="D462" s="60">
        <f>PrefetchDBSummary!E24</f>
        <v>18000</v>
      </c>
      <c r="E462" s="7" t="s">
        <v>1319</v>
      </c>
      <c r="F462" s="19"/>
      <c r="G462" s="4">
        <f>IF(F462&gt;0,F462,IF(PrefetchDBSummary!$C$10="B",AJ462,8))</f>
        <v>8</v>
      </c>
      <c r="H462" s="4">
        <f>PrefetchDBSummary!C$23</f>
        <v>0</v>
      </c>
      <c r="I462" s="4">
        <f>PrefetchDBSummary!D$23</f>
        <v>0</v>
      </c>
      <c r="J462" s="5">
        <f t="shared" si="88"/>
        <v>0</v>
      </c>
      <c r="K462" s="4">
        <f t="shared" si="89"/>
        <v>0</v>
      </c>
      <c r="L462" s="4">
        <f t="shared" si="90"/>
        <v>0</v>
      </c>
      <c r="M462" s="5">
        <f t="shared" si="91"/>
        <v>0</v>
      </c>
      <c r="N462" s="17">
        <f t="shared" si="86"/>
        <v>0</v>
      </c>
      <c r="O462" s="32">
        <f t="shared" si="87"/>
        <v>0</v>
      </c>
      <c r="AG462" t="s">
        <v>875</v>
      </c>
      <c r="AH462" t="s">
        <v>583</v>
      </c>
      <c r="AI462">
        <v>5</v>
      </c>
      <c r="AJ462">
        <v>8</v>
      </c>
      <c r="AK462">
        <v>15</v>
      </c>
      <c r="AL462">
        <v>6</v>
      </c>
      <c r="AM462">
        <v>1759</v>
      </c>
      <c r="AN462">
        <v>1824</v>
      </c>
      <c r="AO462">
        <v>1696</v>
      </c>
      <c r="AQ462" s="27">
        <f t="shared" si="92"/>
        <v>13759735.000000002</v>
      </c>
    </row>
    <row r="463" spans="1:43" ht="13.5" customHeight="1">
      <c r="A463" s="1" t="s">
        <v>561</v>
      </c>
      <c r="B463" s="7" t="s">
        <v>2035</v>
      </c>
      <c r="C463" t="s">
        <v>874</v>
      </c>
      <c r="D463" s="60">
        <f>PrefetchDBSummary!$E$24*PrefetchDBSummary!E25*4</f>
        <v>0</v>
      </c>
      <c r="E463" s="7" t="s">
        <v>1327</v>
      </c>
      <c r="F463" s="19"/>
      <c r="G463" s="4">
        <f>IF(F463&gt;0,F463,IF(PrefetchDBSummary!$C$10="B",AJ463,8))</f>
        <v>8</v>
      </c>
      <c r="H463" s="4">
        <f>PrefetchDBSummary!C$23</f>
        <v>0</v>
      </c>
      <c r="I463" s="4">
        <f>PrefetchDBSummary!D$23</f>
        <v>0</v>
      </c>
      <c r="J463" s="5">
        <f t="shared" si="88"/>
        <v>0</v>
      </c>
      <c r="K463" s="4">
        <f t="shared" si="89"/>
        <v>0</v>
      </c>
      <c r="L463" s="4">
        <f t="shared" si="90"/>
        <v>0</v>
      </c>
      <c r="M463" s="5">
        <f t="shared" si="91"/>
        <v>0</v>
      </c>
      <c r="N463" s="17">
        <f t="shared" si="86"/>
        <v>0</v>
      </c>
      <c r="O463" s="32">
        <f t="shared" si="87"/>
        <v>0</v>
      </c>
      <c r="AG463" t="s">
        <v>876</v>
      </c>
      <c r="AH463" t="s">
        <v>583</v>
      </c>
      <c r="AI463">
        <v>5</v>
      </c>
      <c r="AJ463">
        <v>8</v>
      </c>
      <c r="AK463">
        <v>11</v>
      </c>
      <c r="AL463">
        <v>1</v>
      </c>
      <c r="AM463">
        <v>1947</v>
      </c>
      <c r="AN463">
        <v>1969</v>
      </c>
      <c r="AO463">
        <v>1920</v>
      </c>
      <c r="AQ463" s="27">
        <f t="shared" si="92"/>
        <v>459</v>
      </c>
    </row>
    <row r="464" spans="1:43" ht="13.5" customHeight="1">
      <c r="A464" s="1" t="s">
        <v>561</v>
      </c>
      <c r="B464" s="7" t="s">
        <v>2035</v>
      </c>
      <c r="C464" t="s">
        <v>299</v>
      </c>
      <c r="D464" s="19">
        <v>3</v>
      </c>
      <c r="E464" s="7" t="s">
        <v>1320</v>
      </c>
      <c r="F464" s="19"/>
      <c r="G464" s="4">
        <f>IF(F464&gt;0,F464,IF(PrefetchDBSummary!$C$10="B",AJ464,8))</f>
        <v>8</v>
      </c>
      <c r="H464" s="4">
        <f>PrefetchDBSummary!C$23</f>
        <v>0</v>
      </c>
      <c r="I464" s="4">
        <f>PrefetchDBSummary!D$23</f>
        <v>0</v>
      </c>
      <c r="J464" s="5">
        <f t="shared" si="88"/>
        <v>0</v>
      </c>
      <c r="K464" s="4">
        <f t="shared" si="89"/>
        <v>0</v>
      </c>
      <c r="L464" s="4">
        <f t="shared" si="90"/>
        <v>0</v>
      </c>
      <c r="M464" s="5">
        <f t="shared" si="91"/>
        <v>0</v>
      </c>
      <c r="N464" s="17">
        <f t="shared" si="86"/>
        <v>0</v>
      </c>
      <c r="O464" s="32">
        <f t="shared" si="87"/>
        <v>0</v>
      </c>
      <c r="AG464" t="s">
        <v>300</v>
      </c>
      <c r="AH464" t="s">
        <v>583</v>
      </c>
      <c r="AI464">
        <v>1</v>
      </c>
      <c r="AJ464">
        <v>8</v>
      </c>
      <c r="AK464">
        <v>11</v>
      </c>
      <c r="AL464">
        <v>2</v>
      </c>
      <c r="AM464">
        <v>519</v>
      </c>
      <c r="AN464">
        <v>597</v>
      </c>
      <c r="AO464">
        <v>468</v>
      </c>
      <c r="AQ464" s="27">
        <f t="shared" si="92"/>
        <v>1242.6000000000001</v>
      </c>
    </row>
    <row r="465" spans="1:43" ht="13.5" customHeight="1">
      <c r="A465" s="1" t="s">
        <v>561</v>
      </c>
      <c r="B465" s="7" t="s">
        <v>2035</v>
      </c>
      <c r="C465" t="s">
        <v>303</v>
      </c>
      <c r="D465" s="19">
        <v>30</v>
      </c>
      <c r="E465" s="7" t="s">
        <v>1321</v>
      </c>
      <c r="F465" s="19"/>
      <c r="G465" s="4">
        <f>IF(F465&gt;0,F465,IF(PrefetchDBSummary!$C$10="B",AJ465,8))</f>
        <v>8</v>
      </c>
      <c r="H465" s="4">
        <f>PrefetchDBSummary!C$23</f>
        <v>0</v>
      </c>
      <c r="I465" s="4">
        <f>PrefetchDBSummary!D$23</f>
        <v>0</v>
      </c>
      <c r="J465" s="5">
        <f t="shared" si="88"/>
        <v>0</v>
      </c>
      <c r="K465" s="4">
        <f t="shared" si="89"/>
        <v>0</v>
      </c>
      <c r="L465" s="4">
        <f t="shared" si="90"/>
        <v>0</v>
      </c>
      <c r="M465" s="5">
        <f t="shared" si="91"/>
        <v>0</v>
      </c>
      <c r="N465" s="17">
        <f t="shared" si="86"/>
        <v>0</v>
      </c>
      <c r="O465" s="32">
        <f t="shared" si="87"/>
        <v>0</v>
      </c>
      <c r="AG465" t="s">
        <v>304</v>
      </c>
      <c r="AH465" t="s">
        <v>583</v>
      </c>
      <c r="AI465">
        <v>1</v>
      </c>
      <c r="AJ465">
        <v>8</v>
      </c>
      <c r="AK465">
        <v>6</v>
      </c>
      <c r="AL465">
        <v>2</v>
      </c>
      <c r="AM465">
        <v>662</v>
      </c>
      <c r="AN465">
        <v>740</v>
      </c>
      <c r="AO465">
        <v>640</v>
      </c>
      <c r="AQ465" s="27">
        <f t="shared" si="92"/>
        <v>9394</v>
      </c>
    </row>
    <row r="466" spans="1:43" ht="12.75">
      <c r="A466" s="1" t="s">
        <v>561</v>
      </c>
      <c r="B466" s="7" t="s">
        <v>2035</v>
      </c>
      <c r="C466" t="s">
        <v>307</v>
      </c>
      <c r="D466" s="19">
        <f>D465*4</f>
        <v>120</v>
      </c>
      <c r="E466" s="7" t="s">
        <v>1322</v>
      </c>
      <c r="F466" s="19"/>
      <c r="G466" s="4">
        <f>IF(F466&gt;0,F466,IF(PrefetchDBSummary!$C$10="B",AJ466,8))</f>
        <v>8</v>
      </c>
      <c r="H466" s="4">
        <f>PrefetchDBSummary!C$23</f>
        <v>0</v>
      </c>
      <c r="I466" s="4">
        <f>PrefetchDBSummary!D$23</f>
        <v>0</v>
      </c>
      <c r="J466" s="5">
        <f t="shared" si="88"/>
        <v>0</v>
      </c>
      <c r="K466" s="4">
        <f t="shared" si="89"/>
        <v>0</v>
      </c>
      <c r="L466" s="4">
        <f t="shared" si="90"/>
        <v>0</v>
      </c>
      <c r="M466" s="5">
        <f t="shared" si="91"/>
        <v>0</v>
      </c>
      <c r="N466" s="17">
        <f t="shared" si="86"/>
        <v>0</v>
      </c>
      <c r="O466" s="32">
        <f t="shared" si="87"/>
        <v>0</v>
      </c>
      <c r="AG466" t="s">
        <v>308</v>
      </c>
      <c r="AH466" t="s">
        <v>583</v>
      </c>
      <c r="AI466">
        <v>5</v>
      </c>
      <c r="AJ466">
        <v>8</v>
      </c>
      <c r="AK466">
        <v>11</v>
      </c>
      <c r="AL466">
        <v>5</v>
      </c>
      <c r="AM466">
        <v>955</v>
      </c>
      <c r="AN466">
        <v>1087</v>
      </c>
      <c r="AO466">
        <v>896</v>
      </c>
      <c r="AQ466" s="27">
        <f t="shared" si="92"/>
        <v>53307.00000000001</v>
      </c>
    </row>
    <row r="467" spans="1:43" ht="12.75">
      <c r="A467" s="1" t="s">
        <v>561</v>
      </c>
      <c r="B467" s="7" t="s">
        <v>2035</v>
      </c>
      <c r="C467" t="s">
        <v>305</v>
      </c>
      <c r="D467" s="60">
        <f>PrefetchDBSummary!$E$23</f>
        <v>600</v>
      </c>
      <c r="E467" s="7" t="s">
        <v>1318</v>
      </c>
      <c r="F467" s="19"/>
      <c r="G467" s="4">
        <f>IF(F467&gt;0,F467,IF(PrefetchDBSummary!$C$10="B",AJ467,8))</f>
        <v>8</v>
      </c>
      <c r="H467" s="61">
        <f>PrefetchDBSummary!C$23</f>
        <v>0</v>
      </c>
      <c r="I467" s="4">
        <f>PrefetchDBSummary!D$23</f>
        <v>0</v>
      </c>
      <c r="J467" s="5">
        <f t="shared" si="88"/>
        <v>0</v>
      </c>
      <c r="K467" s="4">
        <f t="shared" si="89"/>
        <v>0</v>
      </c>
      <c r="L467" s="4">
        <f t="shared" si="90"/>
        <v>0</v>
      </c>
      <c r="M467" s="5">
        <f t="shared" si="91"/>
        <v>0</v>
      </c>
      <c r="N467" s="17">
        <f t="shared" si="86"/>
        <v>0</v>
      </c>
      <c r="O467" s="32">
        <f t="shared" si="87"/>
        <v>0</v>
      </c>
      <c r="AG467" t="s">
        <v>306</v>
      </c>
      <c r="AH467" t="s">
        <v>583</v>
      </c>
      <c r="AI467">
        <v>5</v>
      </c>
      <c r="AJ467">
        <v>8</v>
      </c>
      <c r="AK467">
        <v>9</v>
      </c>
      <c r="AL467">
        <v>0</v>
      </c>
      <c r="AM467">
        <v>1433</v>
      </c>
      <c r="AN467">
        <v>1433</v>
      </c>
      <c r="AO467">
        <v>1408</v>
      </c>
      <c r="AQ467" s="27">
        <f t="shared" si="92"/>
        <v>367141</v>
      </c>
    </row>
    <row r="468" spans="1:43" ht="12.75">
      <c r="A468" s="59" t="s">
        <v>1089</v>
      </c>
      <c r="B468" s="7" t="s">
        <v>1264</v>
      </c>
      <c r="C468" t="s">
        <v>1090</v>
      </c>
      <c r="D468" s="19">
        <v>33</v>
      </c>
      <c r="E468" s="7" t="s">
        <v>1922</v>
      </c>
      <c r="F468" s="19"/>
      <c r="G468" s="4">
        <f>IF(F468&gt;0,F468,IF(PrefetchDBSummary!$C$10="B",AJ468,8))</f>
        <v>8</v>
      </c>
      <c r="H468" s="4">
        <f>PrefetchDBSummary!C$34</f>
        <v>0</v>
      </c>
      <c r="I468" s="4">
        <f>PrefetchDBSummary!D$34</f>
        <v>0</v>
      </c>
      <c r="J468" s="5">
        <f t="shared" si="88"/>
        <v>0</v>
      </c>
      <c r="K468" s="4">
        <f t="shared" si="89"/>
        <v>0</v>
      </c>
      <c r="L468" s="4">
        <f t="shared" si="90"/>
        <v>0</v>
      </c>
      <c r="M468" s="5">
        <f t="shared" si="91"/>
        <v>0</v>
      </c>
      <c r="N468" s="17">
        <f t="shared" si="86"/>
        <v>0</v>
      </c>
      <c r="O468" s="32">
        <f t="shared" si="87"/>
        <v>0</v>
      </c>
      <c r="AG468" t="s">
        <v>1105</v>
      </c>
      <c r="AH468" t="s">
        <v>583</v>
      </c>
      <c r="AI468">
        <v>8</v>
      </c>
      <c r="AJ468">
        <v>6</v>
      </c>
      <c r="AK468">
        <v>5</v>
      </c>
      <c r="AL468">
        <v>0</v>
      </c>
      <c r="AM468">
        <v>1193</v>
      </c>
      <c r="AN468">
        <v>1193</v>
      </c>
      <c r="AO468">
        <v>1184</v>
      </c>
      <c r="AQ468" s="27">
        <f t="shared" si="92"/>
        <v>17029.8</v>
      </c>
    </row>
    <row r="469" spans="1:43" ht="12.75">
      <c r="A469" s="59" t="s">
        <v>1089</v>
      </c>
      <c r="B469" s="7" t="s">
        <v>1264</v>
      </c>
      <c r="C469" t="s">
        <v>1726</v>
      </c>
      <c r="D469" s="19">
        <v>11</v>
      </c>
      <c r="E469" s="7" t="s">
        <v>1923</v>
      </c>
      <c r="F469" s="19"/>
      <c r="G469" s="4">
        <f>IF(F469&gt;0,F469,IF(PrefetchDBSummary!$C$10="B",AJ469,8))</f>
        <v>8</v>
      </c>
      <c r="H469" s="4">
        <f>PrefetchDBSummary!C$34</f>
        <v>0</v>
      </c>
      <c r="I469" s="4">
        <f>PrefetchDBSummary!D$34</f>
        <v>0</v>
      </c>
      <c r="J469" s="5">
        <f t="shared" si="88"/>
        <v>0</v>
      </c>
      <c r="K469" s="4">
        <f t="shared" si="89"/>
        <v>0</v>
      </c>
      <c r="L469" s="4">
        <f t="shared" si="90"/>
        <v>0</v>
      </c>
      <c r="M469" s="5">
        <f t="shared" si="91"/>
        <v>0</v>
      </c>
      <c r="N469" s="17">
        <f t="shared" si="86"/>
        <v>0</v>
      </c>
      <c r="O469" s="32">
        <f t="shared" si="87"/>
        <v>0</v>
      </c>
      <c r="AG469" t="s">
        <v>1734</v>
      </c>
      <c r="AH469" t="s">
        <v>583</v>
      </c>
      <c r="AI469">
        <v>8</v>
      </c>
      <c r="AJ469">
        <v>6</v>
      </c>
      <c r="AK469">
        <v>3</v>
      </c>
      <c r="AL469">
        <v>1</v>
      </c>
      <c r="AM469">
        <v>46</v>
      </c>
      <c r="AN469">
        <v>85</v>
      </c>
      <c r="AO469">
        <v>32</v>
      </c>
      <c r="AQ469" s="27">
        <f t="shared" si="92"/>
        <v>854.8</v>
      </c>
    </row>
    <row r="470" spans="1:43" ht="12.75">
      <c r="A470" s="59" t="s">
        <v>1089</v>
      </c>
      <c r="B470" s="7" t="s">
        <v>1264</v>
      </c>
      <c r="C470" t="s">
        <v>1091</v>
      </c>
      <c r="D470" s="19">
        <v>1</v>
      </c>
      <c r="E470" s="7" t="s">
        <v>710</v>
      </c>
      <c r="F470" s="19"/>
      <c r="G470" s="4">
        <f>IF(F470&gt;0,F470,IF(PrefetchDBSummary!$C$10="B",AJ470,8))</f>
        <v>8</v>
      </c>
      <c r="H470" s="4">
        <f>PrefetchDBSummary!C$34</f>
        <v>0</v>
      </c>
      <c r="I470" s="4">
        <f>PrefetchDBSummary!D$34</f>
        <v>0</v>
      </c>
      <c r="J470" s="5">
        <f t="shared" si="88"/>
        <v>0</v>
      </c>
      <c r="K470" s="4">
        <f t="shared" si="89"/>
        <v>0</v>
      </c>
      <c r="L470" s="4">
        <f t="shared" si="90"/>
        <v>0</v>
      </c>
      <c r="M470" s="5">
        <f t="shared" si="91"/>
        <v>0</v>
      </c>
      <c r="N470" s="17">
        <f t="shared" si="86"/>
        <v>0</v>
      </c>
      <c r="O470" s="32">
        <f t="shared" si="87"/>
        <v>0</v>
      </c>
      <c r="AG470" t="s">
        <v>1106</v>
      </c>
      <c r="AH470" t="s">
        <v>582</v>
      </c>
      <c r="AI470">
        <v>8</v>
      </c>
      <c r="AJ470">
        <v>6</v>
      </c>
      <c r="AK470">
        <v>3</v>
      </c>
      <c r="AL470">
        <v>1</v>
      </c>
      <c r="AM470">
        <v>67</v>
      </c>
      <c r="AN470">
        <v>118</v>
      </c>
      <c r="AO470">
        <v>32</v>
      </c>
      <c r="AQ470" s="27">
        <f t="shared" si="92"/>
        <v>377.8</v>
      </c>
    </row>
    <row r="471" spans="1:43" ht="12.75">
      <c r="A471" s="59" t="s">
        <v>1089</v>
      </c>
      <c r="B471" s="7" t="s">
        <v>1264</v>
      </c>
      <c r="C471" t="s">
        <v>1727</v>
      </c>
      <c r="D471" s="19">
        <v>20</v>
      </c>
      <c r="E471" s="80" t="s">
        <v>1924</v>
      </c>
      <c r="F471" s="19"/>
      <c r="G471" s="4">
        <f>IF(F471&gt;0,F471,IF(PrefetchDBSummary!$C$10="B",AJ471,8))</f>
        <v>8</v>
      </c>
      <c r="H471" s="4">
        <f>PrefetchDBSummary!C$34</f>
        <v>0</v>
      </c>
      <c r="I471" s="4">
        <f>PrefetchDBSummary!D$34</f>
        <v>0</v>
      </c>
      <c r="J471" s="5">
        <f t="shared" si="88"/>
        <v>0</v>
      </c>
      <c r="K471" s="4">
        <f t="shared" si="89"/>
        <v>0</v>
      </c>
      <c r="L471" s="4">
        <f t="shared" si="90"/>
        <v>0</v>
      </c>
      <c r="M471" s="5">
        <f t="shared" si="91"/>
        <v>0</v>
      </c>
      <c r="N471" s="17">
        <f t="shared" si="86"/>
        <v>0</v>
      </c>
      <c r="O471" s="32">
        <f t="shared" si="87"/>
        <v>0</v>
      </c>
      <c r="AG471" t="s">
        <v>1735</v>
      </c>
      <c r="AH471" t="s">
        <v>583</v>
      </c>
      <c r="AI471">
        <v>8</v>
      </c>
      <c r="AJ471">
        <v>6</v>
      </c>
      <c r="AK471">
        <v>5</v>
      </c>
      <c r="AL471">
        <v>2</v>
      </c>
      <c r="AM471">
        <v>88</v>
      </c>
      <c r="AN471">
        <v>174</v>
      </c>
      <c r="AO471">
        <v>57</v>
      </c>
      <c r="AQ471" s="27">
        <f t="shared" si="92"/>
        <v>1881</v>
      </c>
    </row>
    <row r="472" spans="1:43" ht="12.75">
      <c r="A472" s="59" t="s">
        <v>1089</v>
      </c>
      <c r="B472" s="7" t="s">
        <v>1264</v>
      </c>
      <c r="C472" t="s">
        <v>1728</v>
      </c>
      <c r="D472" s="19">
        <v>20</v>
      </c>
      <c r="E472" s="80" t="s">
        <v>1925</v>
      </c>
      <c r="F472" s="19"/>
      <c r="G472" s="4">
        <f>IF(F472&gt;0,F472,IF(PrefetchDBSummary!$C$10="B",AJ472,8))</f>
        <v>8</v>
      </c>
      <c r="H472" s="4">
        <f>PrefetchDBSummary!C$34</f>
        <v>0</v>
      </c>
      <c r="I472" s="4">
        <f>PrefetchDBSummary!D$34</f>
        <v>0</v>
      </c>
      <c r="J472" s="5">
        <f t="shared" si="88"/>
        <v>0</v>
      </c>
      <c r="K472" s="4">
        <f t="shared" si="89"/>
        <v>0</v>
      </c>
      <c r="L472" s="4">
        <f t="shared" si="90"/>
        <v>0</v>
      </c>
      <c r="M472" s="5">
        <f t="shared" si="91"/>
        <v>0</v>
      </c>
      <c r="N472" s="17">
        <f t="shared" si="86"/>
        <v>0</v>
      </c>
      <c r="O472" s="32">
        <f t="shared" si="87"/>
        <v>0</v>
      </c>
      <c r="AG472" t="s">
        <v>1736</v>
      </c>
      <c r="AH472" t="s">
        <v>583</v>
      </c>
      <c r="AI472">
        <v>8</v>
      </c>
      <c r="AJ472">
        <v>6</v>
      </c>
      <c r="AK472">
        <v>6</v>
      </c>
      <c r="AL472">
        <v>3</v>
      </c>
      <c r="AM472">
        <v>88</v>
      </c>
      <c r="AN472">
        <v>217</v>
      </c>
      <c r="AO472">
        <v>57</v>
      </c>
      <c r="AQ472" s="27">
        <f t="shared" si="92"/>
        <v>1900</v>
      </c>
    </row>
    <row r="473" spans="1:43" ht="12.75">
      <c r="A473" s="59" t="s">
        <v>1089</v>
      </c>
      <c r="B473" s="7" t="s">
        <v>1264</v>
      </c>
      <c r="C473" t="s">
        <v>1729</v>
      </c>
      <c r="D473" s="19">
        <v>1</v>
      </c>
      <c r="E473" s="7" t="s">
        <v>1926</v>
      </c>
      <c r="F473" s="19"/>
      <c r="G473" s="4">
        <f>IF(F473&gt;0,F473,IF(PrefetchDBSummary!$C$10="B",AJ473,8))</f>
        <v>8</v>
      </c>
      <c r="H473" s="4">
        <f>PrefetchDBSummary!C$34</f>
        <v>0</v>
      </c>
      <c r="I473" s="4">
        <f>PrefetchDBSummary!D$34</f>
        <v>0</v>
      </c>
      <c r="J473" s="5">
        <f t="shared" si="88"/>
        <v>0</v>
      </c>
      <c r="K473" s="4">
        <f t="shared" si="89"/>
        <v>0</v>
      </c>
      <c r="L473" s="4">
        <f t="shared" si="90"/>
        <v>0</v>
      </c>
      <c r="M473" s="5">
        <f t="shared" si="91"/>
        <v>0</v>
      </c>
      <c r="N473" s="17">
        <f t="shared" si="86"/>
        <v>0</v>
      </c>
      <c r="O473" s="32">
        <f t="shared" si="87"/>
        <v>0</v>
      </c>
      <c r="AG473" t="s">
        <v>1737</v>
      </c>
      <c r="AH473" t="s">
        <v>583</v>
      </c>
      <c r="AI473">
        <v>8</v>
      </c>
      <c r="AJ473">
        <v>6</v>
      </c>
      <c r="AK473">
        <v>10</v>
      </c>
      <c r="AL473">
        <v>2</v>
      </c>
      <c r="AM473">
        <v>435</v>
      </c>
      <c r="AN473">
        <v>513</v>
      </c>
      <c r="AO473">
        <v>413</v>
      </c>
      <c r="AQ473" s="27">
        <f t="shared" si="92"/>
        <v>650.2</v>
      </c>
    </row>
    <row r="474" spans="1:43" ht="12.75">
      <c r="A474" s="59" t="s">
        <v>1089</v>
      </c>
      <c r="B474" s="7" t="s">
        <v>1264</v>
      </c>
      <c r="C474" t="s">
        <v>1092</v>
      </c>
      <c r="D474" s="19">
        <v>1</v>
      </c>
      <c r="E474" s="7" t="s">
        <v>710</v>
      </c>
      <c r="F474" s="19"/>
      <c r="G474" s="4">
        <f>IF(F474&gt;0,F474,IF(PrefetchDBSummary!$C$10="B",AJ474,8))</f>
        <v>8</v>
      </c>
      <c r="H474" s="4">
        <f>PrefetchDBSummary!C$34</f>
        <v>0</v>
      </c>
      <c r="I474" s="4">
        <f>PrefetchDBSummary!D$34</f>
        <v>0</v>
      </c>
      <c r="J474" s="5">
        <f t="shared" si="88"/>
        <v>0</v>
      </c>
      <c r="K474" s="4">
        <f t="shared" si="89"/>
        <v>0</v>
      </c>
      <c r="L474" s="4">
        <f t="shared" si="90"/>
        <v>0</v>
      </c>
      <c r="M474" s="5">
        <f t="shared" si="91"/>
        <v>0</v>
      </c>
      <c r="N474" s="17">
        <f t="shared" si="86"/>
        <v>0</v>
      </c>
      <c r="O474" s="32">
        <f t="shared" si="87"/>
        <v>0</v>
      </c>
      <c r="AG474" t="s">
        <v>1107</v>
      </c>
      <c r="AH474" t="s">
        <v>582</v>
      </c>
      <c r="AI474">
        <v>8</v>
      </c>
      <c r="AJ474">
        <v>6</v>
      </c>
      <c r="AK474">
        <v>2</v>
      </c>
      <c r="AL474">
        <v>1</v>
      </c>
      <c r="AM474">
        <v>38</v>
      </c>
      <c r="AN474">
        <v>77</v>
      </c>
      <c r="AO474">
        <v>32</v>
      </c>
      <c r="AQ474" s="27">
        <f t="shared" si="92"/>
        <v>329.8</v>
      </c>
    </row>
    <row r="475" spans="1:43" ht="12.75">
      <c r="A475" s="59" t="s">
        <v>1089</v>
      </c>
      <c r="B475" s="7" t="s">
        <v>1264</v>
      </c>
      <c r="C475" t="s">
        <v>1093</v>
      </c>
      <c r="D475" s="19">
        <v>1</v>
      </c>
      <c r="E475" s="7" t="s">
        <v>1927</v>
      </c>
      <c r="F475" s="19"/>
      <c r="G475" s="4">
        <f>IF(F475&gt;0,F475,IF(PrefetchDBSummary!$C$10="B",AJ475,8))</f>
        <v>8</v>
      </c>
      <c r="H475" s="4">
        <f>PrefetchDBSummary!C$34</f>
        <v>0</v>
      </c>
      <c r="I475" s="4">
        <f>PrefetchDBSummary!D$34</f>
        <v>0</v>
      </c>
      <c r="J475" s="5">
        <f t="shared" si="88"/>
        <v>0</v>
      </c>
      <c r="K475" s="4">
        <f t="shared" si="89"/>
        <v>0</v>
      </c>
      <c r="L475" s="4">
        <f t="shared" si="90"/>
        <v>0</v>
      </c>
      <c r="M475" s="5">
        <f t="shared" si="91"/>
        <v>0</v>
      </c>
      <c r="N475" s="17">
        <f t="shared" si="86"/>
        <v>0</v>
      </c>
      <c r="O475" s="32">
        <f t="shared" si="87"/>
        <v>0</v>
      </c>
      <c r="AG475" t="s">
        <v>1108</v>
      </c>
      <c r="AH475" t="s">
        <v>583</v>
      </c>
      <c r="AI475">
        <v>8</v>
      </c>
      <c r="AJ475">
        <v>6</v>
      </c>
      <c r="AK475">
        <v>2</v>
      </c>
      <c r="AL475">
        <v>1</v>
      </c>
      <c r="AM475">
        <v>38</v>
      </c>
      <c r="AN475">
        <v>77</v>
      </c>
      <c r="AO475">
        <v>32</v>
      </c>
      <c r="AQ475" s="27">
        <f t="shared" si="92"/>
        <v>329.8</v>
      </c>
    </row>
    <row r="476" spans="1:43" ht="12.75">
      <c r="A476" s="59" t="s">
        <v>1089</v>
      </c>
      <c r="B476" s="7" t="s">
        <v>1264</v>
      </c>
      <c r="C476" t="s">
        <v>1094</v>
      </c>
      <c r="D476" s="19">
        <v>1</v>
      </c>
      <c r="E476" s="7" t="s">
        <v>710</v>
      </c>
      <c r="F476" s="19"/>
      <c r="G476" s="4">
        <f>IF(F476&gt;0,F476,IF(PrefetchDBSummary!$C$10="B",AJ476,8))</f>
        <v>8</v>
      </c>
      <c r="H476" s="4">
        <f>PrefetchDBSummary!C$34</f>
        <v>0</v>
      </c>
      <c r="I476" s="4">
        <f>PrefetchDBSummary!D$34</f>
        <v>0</v>
      </c>
      <c r="J476" s="5">
        <f t="shared" si="88"/>
        <v>0</v>
      </c>
      <c r="K476" s="4">
        <f t="shared" si="89"/>
        <v>0</v>
      </c>
      <c r="L476" s="4">
        <f t="shared" si="90"/>
        <v>0</v>
      </c>
      <c r="M476" s="5">
        <f t="shared" si="91"/>
        <v>0</v>
      </c>
      <c r="N476" s="17">
        <f t="shared" si="86"/>
        <v>0</v>
      </c>
      <c r="O476" s="32">
        <f t="shared" si="87"/>
        <v>0</v>
      </c>
      <c r="AG476" t="s">
        <v>1109</v>
      </c>
      <c r="AH476" t="s">
        <v>582</v>
      </c>
      <c r="AI476">
        <v>3</v>
      </c>
      <c r="AJ476">
        <v>6</v>
      </c>
      <c r="AK476">
        <v>3</v>
      </c>
      <c r="AL476">
        <v>1</v>
      </c>
      <c r="AM476">
        <v>55</v>
      </c>
      <c r="AN476">
        <v>94</v>
      </c>
      <c r="AO476">
        <v>32</v>
      </c>
      <c r="AQ476" s="27">
        <f t="shared" si="92"/>
        <v>365.8</v>
      </c>
    </row>
    <row r="477" spans="1:43" ht="12.75">
      <c r="A477" s="59" t="s">
        <v>1089</v>
      </c>
      <c r="B477" s="7" t="s">
        <v>1264</v>
      </c>
      <c r="C477" t="s">
        <v>1095</v>
      </c>
      <c r="D477" s="19">
        <v>1</v>
      </c>
      <c r="E477" s="7" t="s">
        <v>710</v>
      </c>
      <c r="F477" s="19"/>
      <c r="G477" s="4">
        <f>IF(F477&gt;0,F477,IF(PrefetchDBSummary!$C$10="B",AJ477,8))</f>
        <v>8</v>
      </c>
      <c r="H477" s="4">
        <f>PrefetchDBSummary!C$34</f>
        <v>0</v>
      </c>
      <c r="I477" s="4">
        <f>PrefetchDBSummary!D$34</f>
        <v>0</v>
      </c>
      <c r="J477" s="5">
        <f t="shared" si="88"/>
        <v>0</v>
      </c>
      <c r="K477" s="4">
        <f t="shared" si="89"/>
        <v>0</v>
      </c>
      <c r="L477" s="4">
        <f t="shared" si="90"/>
        <v>0</v>
      </c>
      <c r="M477" s="5">
        <f t="shared" si="91"/>
        <v>0</v>
      </c>
      <c r="N477" s="17">
        <f t="shared" si="86"/>
        <v>0</v>
      </c>
      <c r="O477" s="32">
        <f t="shared" si="87"/>
        <v>0</v>
      </c>
      <c r="AG477" t="s">
        <v>1110</v>
      </c>
      <c r="AH477" t="s">
        <v>582</v>
      </c>
      <c r="AI477">
        <v>8</v>
      </c>
      <c r="AJ477">
        <v>6</v>
      </c>
      <c r="AK477">
        <v>4</v>
      </c>
      <c r="AL477">
        <v>3</v>
      </c>
      <c r="AM477">
        <v>60</v>
      </c>
      <c r="AN477">
        <v>157</v>
      </c>
      <c r="AO477">
        <v>32</v>
      </c>
      <c r="AQ477" s="27">
        <f t="shared" si="92"/>
        <v>389.8</v>
      </c>
    </row>
    <row r="478" spans="1:43" ht="12.75">
      <c r="A478" s="59" t="s">
        <v>1089</v>
      </c>
      <c r="B478" s="7" t="s">
        <v>1264</v>
      </c>
      <c r="C478" t="s">
        <v>1096</v>
      </c>
      <c r="D478" s="19">
        <v>1</v>
      </c>
      <c r="E478" s="7" t="s">
        <v>710</v>
      </c>
      <c r="F478" s="19"/>
      <c r="G478" s="4">
        <f>IF(F478&gt;0,F478,IF(PrefetchDBSummary!$C$10="B",AJ478,8))</f>
        <v>8</v>
      </c>
      <c r="H478" s="4">
        <f>PrefetchDBSummary!C$34</f>
        <v>0</v>
      </c>
      <c r="I478" s="4">
        <f>PrefetchDBSummary!D$34</f>
        <v>0</v>
      </c>
      <c r="J478" s="5">
        <f t="shared" si="88"/>
        <v>0</v>
      </c>
      <c r="K478" s="4">
        <f t="shared" si="89"/>
        <v>0</v>
      </c>
      <c r="L478" s="4">
        <f t="shared" si="90"/>
        <v>0</v>
      </c>
      <c r="M478" s="5">
        <f t="shared" si="91"/>
        <v>0</v>
      </c>
      <c r="N478" s="17">
        <f t="shared" si="86"/>
        <v>0</v>
      </c>
      <c r="O478" s="32">
        <f t="shared" si="87"/>
        <v>0</v>
      </c>
      <c r="AG478" t="s">
        <v>1111</v>
      </c>
      <c r="AH478" t="s">
        <v>582</v>
      </c>
      <c r="AI478">
        <v>8</v>
      </c>
      <c r="AJ478">
        <v>8</v>
      </c>
      <c r="AK478">
        <v>2</v>
      </c>
      <c r="AL478">
        <v>0</v>
      </c>
      <c r="AM478">
        <v>38</v>
      </c>
      <c r="AN478">
        <v>38</v>
      </c>
      <c r="AO478">
        <v>32</v>
      </c>
      <c r="AQ478" s="27">
        <f t="shared" si="92"/>
        <v>329.8</v>
      </c>
    </row>
    <row r="479" spans="1:43" ht="12.75">
      <c r="A479" s="59" t="s">
        <v>1089</v>
      </c>
      <c r="B479" s="7" t="s">
        <v>1264</v>
      </c>
      <c r="C479" t="s">
        <v>1097</v>
      </c>
      <c r="D479" s="19">
        <v>1</v>
      </c>
      <c r="E479" s="7" t="s">
        <v>710</v>
      </c>
      <c r="F479" s="19"/>
      <c r="G479" s="4">
        <f>IF(F479&gt;0,F479,IF(PrefetchDBSummary!$C$10="B",AJ479,8))</f>
        <v>8</v>
      </c>
      <c r="H479" s="4">
        <f>PrefetchDBSummary!C$34</f>
        <v>0</v>
      </c>
      <c r="I479" s="4">
        <f>PrefetchDBSummary!D$34</f>
        <v>0</v>
      </c>
      <c r="J479" s="5">
        <f t="shared" si="88"/>
        <v>0</v>
      </c>
      <c r="K479" s="4">
        <f t="shared" si="89"/>
        <v>0</v>
      </c>
      <c r="L479" s="4">
        <f t="shared" si="90"/>
        <v>0</v>
      </c>
      <c r="M479" s="5">
        <f t="shared" si="91"/>
        <v>0</v>
      </c>
      <c r="N479" s="17">
        <f t="shared" si="86"/>
        <v>0</v>
      </c>
      <c r="O479" s="32">
        <f t="shared" si="87"/>
        <v>0</v>
      </c>
      <c r="AG479" t="s">
        <v>1112</v>
      </c>
      <c r="AH479" t="s">
        <v>582</v>
      </c>
      <c r="AI479">
        <v>8</v>
      </c>
      <c r="AJ479">
        <v>6</v>
      </c>
      <c r="AK479">
        <v>6</v>
      </c>
      <c r="AL479">
        <v>4</v>
      </c>
      <c r="AM479">
        <v>86</v>
      </c>
      <c r="AN479">
        <v>194</v>
      </c>
      <c r="AO479">
        <v>32</v>
      </c>
      <c r="AQ479" s="27">
        <f t="shared" si="92"/>
        <v>453.8</v>
      </c>
    </row>
    <row r="480" spans="1:43" ht="12.75">
      <c r="A480" s="59" t="s">
        <v>1089</v>
      </c>
      <c r="B480" s="7" t="s">
        <v>1264</v>
      </c>
      <c r="C480" t="s">
        <v>1098</v>
      </c>
      <c r="D480" s="19">
        <v>1</v>
      </c>
      <c r="E480" s="7" t="s">
        <v>710</v>
      </c>
      <c r="F480" s="19"/>
      <c r="G480" s="4">
        <f>IF(F480&gt;0,F480,IF(PrefetchDBSummary!$C$10="B",AJ480,8))</f>
        <v>8</v>
      </c>
      <c r="H480" s="4">
        <f>PrefetchDBSummary!C$34</f>
        <v>0</v>
      </c>
      <c r="I480" s="4">
        <f>PrefetchDBSummary!D$34</f>
        <v>0</v>
      </c>
      <c r="J480" s="5">
        <f t="shared" si="88"/>
        <v>0</v>
      </c>
      <c r="K480" s="4">
        <f t="shared" si="89"/>
        <v>0</v>
      </c>
      <c r="L480" s="4">
        <f t="shared" si="90"/>
        <v>0</v>
      </c>
      <c r="M480" s="5">
        <f t="shared" si="91"/>
        <v>0</v>
      </c>
      <c r="N480" s="17">
        <f t="shared" si="86"/>
        <v>0</v>
      </c>
      <c r="O480" s="32">
        <f t="shared" si="87"/>
        <v>0</v>
      </c>
      <c r="AG480" t="s">
        <v>1113</v>
      </c>
      <c r="AH480" t="s">
        <v>582</v>
      </c>
      <c r="AI480">
        <v>8</v>
      </c>
      <c r="AJ480">
        <v>6</v>
      </c>
      <c r="AK480">
        <v>4</v>
      </c>
      <c r="AL480">
        <v>2</v>
      </c>
      <c r="AM480">
        <v>60</v>
      </c>
      <c r="AN480">
        <v>138</v>
      </c>
      <c r="AO480">
        <v>32</v>
      </c>
      <c r="AQ480" s="27">
        <f t="shared" si="92"/>
        <v>389.8</v>
      </c>
    </row>
    <row r="481" spans="1:43" ht="12.75">
      <c r="A481" s="59" t="s">
        <v>1089</v>
      </c>
      <c r="B481" s="7" t="s">
        <v>1264</v>
      </c>
      <c r="C481" t="s">
        <v>1099</v>
      </c>
      <c r="D481" s="19">
        <v>1</v>
      </c>
      <c r="E481" s="7" t="s">
        <v>710</v>
      </c>
      <c r="F481" s="19"/>
      <c r="G481" s="4">
        <f>IF(F481&gt;0,F481,IF(PrefetchDBSummary!$C$10="B",AJ481,8))</f>
        <v>8</v>
      </c>
      <c r="H481" s="4">
        <f>PrefetchDBSummary!C$34</f>
        <v>0</v>
      </c>
      <c r="I481" s="4">
        <f>PrefetchDBSummary!D$34</f>
        <v>0</v>
      </c>
      <c r="J481" s="5">
        <f t="shared" si="88"/>
        <v>0</v>
      </c>
      <c r="K481" s="4">
        <f t="shared" si="89"/>
        <v>0</v>
      </c>
      <c r="L481" s="4">
        <f t="shared" si="90"/>
        <v>0</v>
      </c>
      <c r="M481" s="5">
        <f t="shared" si="91"/>
        <v>0</v>
      </c>
      <c r="N481" s="17">
        <f t="shared" si="86"/>
        <v>0</v>
      </c>
      <c r="O481" s="32">
        <f t="shared" si="87"/>
        <v>0</v>
      </c>
      <c r="AG481" t="s">
        <v>1114</v>
      </c>
      <c r="AH481" t="s">
        <v>583</v>
      </c>
      <c r="AI481">
        <v>60</v>
      </c>
      <c r="AJ481">
        <v>8</v>
      </c>
      <c r="AK481">
        <v>2</v>
      </c>
      <c r="AL481">
        <v>0</v>
      </c>
      <c r="AM481">
        <v>674</v>
      </c>
      <c r="AN481">
        <v>674</v>
      </c>
      <c r="AO481">
        <v>672</v>
      </c>
      <c r="AQ481" s="27">
        <f t="shared" si="92"/>
        <v>581.8</v>
      </c>
    </row>
    <row r="482" spans="1:43" ht="12.75">
      <c r="A482" s="59" t="s">
        <v>1089</v>
      </c>
      <c r="B482" s="7" t="s">
        <v>1264</v>
      </c>
      <c r="C482" t="s">
        <v>1730</v>
      </c>
      <c r="D482" s="19">
        <v>20</v>
      </c>
      <c r="E482" s="7" t="s">
        <v>1928</v>
      </c>
      <c r="F482" s="19"/>
      <c r="G482" s="4">
        <f>IF(F482&gt;0,F482,IF(PrefetchDBSummary!$C$10="B",AJ482,8))</f>
        <v>8</v>
      </c>
      <c r="H482" s="4">
        <f>PrefetchDBSummary!C$34</f>
        <v>0</v>
      </c>
      <c r="I482" s="4">
        <f>PrefetchDBSummary!D$34</f>
        <v>0</v>
      </c>
      <c r="J482" s="5">
        <f t="shared" si="88"/>
        <v>0</v>
      </c>
      <c r="K482" s="4">
        <f t="shared" si="89"/>
        <v>0</v>
      </c>
      <c r="L482" s="4">
        <f t="shared" si="90"/>
        <v>0</v>
      </c>
      <c r="M482" s="5">
        <f t="shared" si="91"/>
        <v>0</v>
      </c>
      <c r="N482" s="17">
        <f t="shared" si="86"/>
        <v>0</v>
      </c>
      <c r="O482" s="32">
        <f t="shared" si="87"/>
        <v>0</v>
      </c>
      <c r="AG482" t="s">
        <v>1738</v>
      </c>
      <c r="AH482" t="s">
        <v>583</v>
      </c>
      <c r="AI482">
        <v>8</v>
      </c>
      <c r="AJ482">
        <v>6</v>
      </c>
      <c r="AK482">
        <v>7</v>
      </c>
      <c r="AL482">
        <v>3</v>
      </c>
      <c r="AM482">
        <v>345</v>
      </c>
      <c r="AN482">
        <v>474</v>
      </c>
      <c r="AO482">
        <v>313</v>
      </c>
      <c r="AQ482" s="27">
        <f t="shared" si="92"/>
        <v>3987</v>
      </c>
    </row>
    <row r="483" spans="1:43" ht="12.75">
      <c r="A483" s="59" t="s">
        <v>1089</v>
      </c>
      <c r="B483" s="7" t="s">
        <v>1264</v>
      </c>
      <c r="C483" t="s">
        <v>1731</v>
      </c>
      <c r="D483" s="19">
        <v>20</v>
      </c>
      <c r="E483" s="7" t="s">
        <v>1929</v>
      </c>
      <c r="F483" s="19"/>
      <c r="G483" s="4">
        <f>IF(F483&gt;0,F483,IF(PrefetchDBSummary!$C$10="B",AJ483,8))</f>
        <v>8</v>
      </c>
      <c r="H483" s="4">
        <f>PrefetchDBSummary!C$34</f>
        <v>0</v>
      </c>
      <c r="I483" s="4">
        <f>PrefetchDBSummary!D$34</f>
        <v>0</v>
      </c>
      <c r="J483" s="5">
        <f t="shared" si="88"/>
        <v>0</v>
      </c>
      <c r="K483" s="4">
        <f t="shared" si="89"/>
        <v>0</v>
      </c>
      <c r="L483" s="4">
        <f t="shared" si="90"/>
        <v>0</v>
      </c>
      <c r="M483" s="5">
        <f t="shared" si="91"/>
        <v>0</v>
      </c>
      <c r="N483" s="17">
        <f t="shared" si="86"/>
        <v>0</v>
      </c>
      <c r="O483" s="32">
        <f t="shared" si="87"/>
        <v>0</v>
      </c>
      <c r="AG483" t="s">
        <v>1739</v>
      </c>
      <c r="AH483" t="s">
        <v>583</v>
      </c>
      <c r="AI483">
        <v>8</v>
      </c>
      <c r="AJ483">
        <v>6</v>
      </c>
      <c r="AK483">
        <v>5</v>
      </c>
      <c r="AL483">
        <v>1</v>
      </c>
      <c r="AM483">
        <v>327</v>
      </c>
      <c r="AN483">
        <v>370</v>
      </c>
      <c r="AO483">
        <v>313</v>
      </c>
      <c r="AQ483" s="27">
        <f t="shared" si="92"/>
        <v>3589</v>
      </c>
    </row>
    <row r="484" spans="1:43" ht="12.75">
      <c r="A484" s="59" t="s">
        <v>1089</v>
      </c>
      <c r="B484" s="7" t="s">
        <v>1264</v>
      </c>
      <c r="C484" t="s">
        <v>1100</v>
      </c>
      <c r="D484" s="19">
        <v>1</v>
      </c>
      <c r="E484" s="7" t="s">
        <v>1930</v>
      </c>
      <c r="F484" s="19"/>
      <c r="G484" s="4">
        <f>IF(F484&gt;0,F484,IF(PrefetchDBSummary!$C$10="B",AJ484,8))</f>
        <v>8</v>
      </c>
      <c r="H484" s="4">
        <f>PrefetchDBSummary!C$34</f>
        <v>0</v>
      </c>
      <c r="I484" s="4">
        <f>PrefetchDBSummary!D$34</f>
        <v>0</v>
      </c>
      <c r="J484" s="5">
        <f t="shared" si="88"/>
        <v>0</v>
      </c>
      <c r="K484" s="4">
        <f t="shared" si="89"/>
        <v>0</v>
      </c>
      <c r="L484" s="4">
        <f t="shared" si="90"/>
        <v>0</v>
      </c>
      <c r="M484" s="5">
        <f t="shared" si="91"/>
        <v>0</v>
      </c>
      <c r="N484" s="17">
        <f t="shared" si="86"/>
        <v>0</v>
      </c>
      <c r="O484" s="32">
        <f t="shared" si="87"/>
        <v>0</v>
      </c>
      <c r="AG484" t="s">
        <v>1115</v>
      </c>
      <c r="AH484" t="s">
        <v>583</v>
      </c>
      <c r="AI484">
        <v>8</v>
      </c>
      <c r="AJ484">
        <v>6</v>
      </c>
      <c r="AK484">
        <v>4</v>
      </c>
      <c r="AL484">
        <v>1</v>
      </c>
      <c r="AM484">
        <v>160</v>
      </c>
      <c r="AN484">
        <v>203</v>
      </c>
      <c r="AO484">
        <v>132</v>
      </c>
      <c r="AQ484" s="27">
        <f t="shared" si="92"/>
        <v>429.8</v>
      </c>
    </row>
    <row r="485" spans="1:43" ht="12.75">
      <c r="A485" s="59" t="s">
        <v>1089</v>
      </c>
      <c r="B485" s="7" t="s">
        <v>1264</v>
      </c>
      <c r="C485" t="s">
        <v>1101</v>
      </c>
      <c r="D485" s="19">
        <v>1</v>
      </c>
      <c r="E485" s="7" t="s">
        <v>710</v>
      </c>
      <c r="F485" s="19"/>
      <c r="G485" s="4">
        <f>IF(F485&gt;0,F485,IF(PrefetchDBSummary!$C$10="B",AJ485,8))</f>
        <v>8</v>
      </c>
      <c r="H485" s="4">
        <f>PrefetchDBSummary!C$34</f>
        <v>0</v>
      </c>
      <c r="I485" s="4">
        <f>PrefetchDBSummary!D$34</f>
        <v>0</v>
      </c>
      <c r="J485" s="5">
        <f t="shared" si="88"/>
        <v>0</v>
      </c>
      <c r="K485" s="4">
        <f t="shared" si="89"/>
        <v>0</v>
      </c>
      <c r="L485" s="4">
        <f t="shared" si="90"/>
        <v>0</v>
      </c>
      <c r="M485" s="5">
        <f t="shared" si="91"/>
        <v>0</v>
      </c>
      <c r="N485" s="17">
        <f t="shared" si="86"/>
        <v>0</v>
      </c>
      <c r="O485" s="32">
        <f t="shared" si="87"/>
        <v>0</v>
      </c>
      <c r="AG485" t="s">
        <v>1116</v>
      </c>
      <c r="AH485" t="s">
        <v>582</v>
      </c>
      <c r="AI485">
        <v>8</v>
      </c>
      <c r="AJ485">
        <v>6</v>
      </c>
      <c r="AK485">
        <v>4</v>
      </c>
      <c r="AL485">
        <v>2</v>
      </c>
      <c r="AM485">
        <v>68</v>
      </c>
      <c r="AN485">
        <v>154</v>
      </c>
      <c r="AO485">
        <v>32</v>
      </c>
      <c r="AQ485" s="27">
        <f t="shared" si="92"/>
        <v>397.8</v>
      </c>
    </row>
    <row r="486" spans="1:43" ht="12.75">
      <c r="A486" s="59" t="s">
        <v>1089</v>
      </c>
      <c r="B486" s="7" t="s">
        <v>1264</v>
      </c>
      <c r="C486" t="s">
        <v>1102</v>
      </c>
      <c r="D486" s="19">
        <v>18</v>
      </c>
      <c r="E486" s="7" t="s">
        <v>1931</v>
      </c>
      <c r="F486" s="19"/>
      <c r="G486" s="4">
        <f>IF(F486&gt;0,F486,IF(PrefetchDBSummary!$C$10="B",AJ486,8))</f>
        <v>8</v>
      </c>
      <c r="H486" s="4">
        <f>PrefetchDBSummary!C$34</f>
        <v>0</v>
      </c>
      <c r="I486" s="4">
        <f>PrefetchDBSummary!D$34</f>
        <v>0</v>
      </c>
      <c r="J486" s="5">
        <f t="shared" si="88"/>
        <v>0</v>
      </c>
      <c r="K486" s="4">
        <f t="shared" si="89"/>
        <v>0</v>
      </c>
      <c r="L486" s="4">
        <f t="shared" si="90"/>
        <v>0</v>
      </c>
      <c r="M486" s="5">
        <f t="shared" si="91"/>
        <v>0</v>
      </c>
      <c r="N486" s="17">
        <f t="shared" si="86"/>
        <v>0</v>
      </c>
      <c r="O486" s="32">
        <f t="shared" si="87"/>
        <v>0</v>
      </c>
      <c r="AG486" t="s">
        <v>1117</v>
      </c>
      <c r="AH486" t="s">
        <v>583</v>
      </c>
      <c r="AI486">
        <v>8</v>
      </c>
      <c r="AJ486">
        <v>6</v>
      </c>
      <c r="AK486">
        <v>5</v>
      </c>
      <c r="AL486">
        <v>2</v>
      </c>
      <c r="AM486">
        <v>245</v>
      </c>
      <c r="AN486">
        <v>299</v>
      </c>
      <c r="AO486">
        <v>224</v>
      </c>
      <c r="AQ486" s="27">
        <f t="shared" si="92"/>
        <v>2749.8</v>
      </c>
    </row>
    <row r="487" spans="1:43" ht="12.75">
      <c r="A487" s="59" t="s">
        <v>1089</v>
      </c>
      <c r="B487" s="7" t="s">
        <v>1264</v>
      </c>
      <c r="C487" t="s">
        <v>1732</v>
      </c>
      <c r="D487" s="19">
        <v>5</v>
      </c>
      <c r="E487" s="39" t="s">
        <v>1932</v>
      </c>
      <c r="F487" s="19"/>
      <c r="G487" s="4">
        <f>IF(F487&gt;0,F487,IF(PrefetchDBSummary!$C$10="B",AJ487,8))</f>
        <v>8</v>
      </c>
      <c r="H487" s="4">
        <f>PrefetchDBSummary!C$34</f>
        <v>0</v>
      </c>
      <c r="I487" s="4">
        <f>PrefetchDBSummary!D$34</f>
        <v>0</v>
      </c>
      <c r="J487" s="5">
        <f t="shared" si="88"/>
        <v>0</v>
      </c>
      <c r="K487" s="4">
        <f t="shared" si="89"/>
        <v>0</v>
      </c>
      <c r="L487" s="4">
        <f t="shared" si="90"/>
        <v>0</v>
      </c>
      <c r="M487" s="5">
        <f t="shared" si="91"/>
        <v>0</v>
      </c>
      <c r="N487" s="17">
        <f t="shared" si="86"/>
        <v>0</v>
      </c>
      <c r="O487" s="32">
        <f t="shared" si="87"/>
        <v>0</v>
      </c>
      <c r="AG487" t="s">
        <v>1740</v>
      </c>
      <c r="AH487" t="s">
        <v>583</v>
      </c>
      <c r="AI487">
        <v>8</v>
      </c>
      <c r="AJ487">
        <v>6</v>
      </c>
      <c r="AK487">
        <v>4</v>
      </c>
      <c r="AL487">
        <v>2</v>
      </c>
      <c r="AM487">
        <v>300</v>
      </c>
      <c r="AN487">
        <v>378</v>
      </c>
      <c r="AO487">
        <v>288</v>
      </c>
      <c r="AQ487" s="27">
        <f t="shared" si="92"/>
        <v>1077</v>
      </c>
    </row>
    <row r="488" spans="1:43" ht="12.75">
      <c r="A488" s="59" t="s">
        <v>1089</v>
      </c>
      <c r="B488" s="7" t="s">
        <v>1264</v>
      </c>
      <c r="C488" t="s">
        <v>1733</v>
      </c>
      <c r="D488" s="19">
        <v>20</v>
      </c>
      <c r="E488" s="7" t="s">
        <v>1933</v>
      </c>
      <c r="F488" s="19"/>
      <c r="G488" s="4">
        <f>IF(F488&gt;0,F488,IF(PrefetchDBSummary!$C$10="B",AJ488,8))</f>
        <v>8</v>
      </c>
      <c r="H488" s="4">
        <f>PrefetchDBSummary!C$34</f>
        <v>0</v>
      </c>
      <c r="I488" s="4">
        <f>PrefetchDBSummary!D$34</f>
        <v>0</v>
      </c>
      <c r="J488" s="5">
        <f t="shared" si="88"/>
        <v>0</v>
      </c>
      <c r="K488" s="4">
        <f t="shared" si="89"/>
        <v>0</v>
      </c>
      <c r="L488" s="4">
        <f t="shared" si="90"/>
        <v>0</v>
      </c>
      <c r="M488" s="5">
        <f t="shared" si="91"/>
        <v>0</v>
      </c>
      <c r="N488" s="17">
        <f t="shared" si="86"/>
        <v>0</v>
      </c>
      <c r="O488" s="32">
        <f t="shared" si="87"/>
        <v>0</v>
      </c>
      <c r="AG488" t="s">
        <v>1741</v>
      </c>
      <c r="AH488" t="s">
        <v>583</v>
      </c>
      <c r="AI488">
        <v>8</v>
      </c>
      <c r="AJ488">
        <v>6</v>
      </c>
      <c r="AK488">
        <v>8</v>
      </c>
      <c r="AL488">
        <v>5</v>
      </c>
      <c r="AM488">
        <v>106</v>
      </c>
      <c r="AN488">
        <v>321</v>
      </c>
      <c r="AO488">
        <v>57</v>
      </c>
      <c r="AQ488" s="27">
        <f t="shared" si="92"/>
        <v>2298</v>
      </c>
    </row>
    <row r="489" spans="1:43" ht="12.75">
      <c r="A489" s="59" t="s">
        <v>1089</v>
      </c>
      <c r="B489" s="7" t="s">
        <v>1264</v>
      </c>
      <c r="C489" t="s">
        <v>1103</v>
      </c>
      <c r="D489" s="19">
        <v>1</v>
      </c>
      <c r="E489" s="7" t="s">
        <v>710</v>
      </c>
      <c r="F489" s="19"/>
      <c r="G489" s="4">
        <f>IF(F489&gt;0,F489,IF(PrefetchDBSummary!$C$10="B",AJ489,8))</f>
        <v>8</v>
      </c>
      <c r="H489" s="4">
        <f>PrefetchDBSummary!C$34</f>
        <v>0</v>
      </c>
      <c r="I489" s="4">
        <f>PrefetchDBSummary!D$34</f>
        <v>0</v>
      </c>
      <c r="J489" s="5">
        <f t="shared" si="88"/>
        <v>0</v>
      </c>
      <c r="K489" s="4">
        <f t="shared" si="89"/>
        <v>0</v>
      </c>
      <c r="L489" s="4">
        <f t="shared" si="90"/>
        <v>0</v>
      </c>
      <c r="M489" s="5">
        <f t="shared" si="91"/>
        <v>0</v>
      </c>
      <c r="N489" s="17">
        <f t="shared" si="86"/>
        <v>0</v>
      </c>
      <c r="O489" s="32">
        <f t="shared" si="87"/>
        <v>0</v>
      </c>
      <c r="AG489" t="s">
        <v>1118</v>
      </c>
      <c r="AH489" t="s">
        <v>582</v>
      </c>
      <c r="AI489">
        <v>5</v>
      </c>
      <c r="AJ489">
        <v>6</v>
      </c>
      <c r="AK489">
        <v>5</v>
      </c>
      <c r="AL489">
        <v>3</v>
      </c>
      <c r="AM489">
        <v>93</v>
      </c>
      <c r="AN489">
        <v>238</v>
      </c>
      <c r="AO489">
        <v>32</v>
      </c>
      <c r="AQ489" s="27">
        <f t="shared" si="92"/>
        <v>441.8</v>
      </c>
    </row>
    <row r="490" spans="1:43" ht="12.75">
      <c r="A490" s="59" t="s">
        <v>1089</v>
      </c>
      <c r="B490" s="7" t="s">
        <v>1264</v>
      </c>
      <c r="C490" t="s">
        <v>1104</v>
      </c>
      <c r="D490" s="19">
        <v>1</v>
      </c>
      <c r="E490" s="7" t="s">
        <v>710</v>
      </c>
      <c r="F490" s="19"/>
      <c r="G490" s="4">
        <f>IF(F490&gt;0,F490,IF(PrefetchDBSummary!$C$10="B",AJ490,8))</f>
        <v>8</v>
      </c>
      <c r="H490" s="4">
        <f>PrefetchDBSummary!C$34</f>
        <v>0</v>
      </c>
      <c r="I490" s="4">
        <f>PrefetchDBSummary!D$34</f>
        <v>0</v>
      </c>
      <c r="J490" s="5">
        <f t="shared" si="88"/>
        <v>0</v>
      </c>
      <c r="K490" s="4">
        <f t="shared" si="89"/>
        <v>0</v>
      </c>
      <c r="L490" s="4">
        <f t="shared" si="90"/>
        <v>0</v>
      </c>
      <c r="M490" s="5">
        <f t="shared" si="91"/>
        <v>0</v>
      </c>
      <c r="N490" s="17">
        <f t="shared" si="86"/>
        <v>0</v>
      </c>
      <c r="O490" s="32">
        <f t="shared" si="87"/>
        <v>0</v>
      </c>
      <c r="AG490" t="s">
        <v>1119</v>
      </c>
      <c r="AH490" t="s">
        <v>582</v>
      </c>
      <c r="AI490">
        <v>5</v>
      </c>
      <c r="AJ490">
        <v>6</v>
      </c>
      <c r="AK490">
        <v>3</v>
      </c>
      <c r="AL490">
        <v>1</v>
      </c>
      <c r="AM490">
        <v>55</v>
      </c>
      <c r="AN490">
        <v>94</v>
      </c>
      <c r="AO490">
        <v>32</v>
      </c>
      <c r="AQ490" s="27">
        <f t="shared" si="92"/>
        <v>365.8</v>
      </c>
    </row>
    <row r="491" spans="1:43" ht="12.75">
      <c r="A491" t="s">
        <v>933</v>
      </c>
      <c r="B491" s="7" t="s">
        <v>1037</v>
      </c>
      <c r="C491" t="s">
        <v>934</v>
      </c>
      <c r="D491" s="19">
        <v>31</v>
      </c>
      <c r="E491" s="7" t="s">
        <v>958</v>
      </c>
      <c r="F491" s="19"/>
      <c r="G491" s="4">
        <f>IF(F491&gt;0,F491,IF(PrefetchDBSummary!$C$10="B",AJ491,8))</f>
        <v>8</v>
      </c>
      <c r="H491" s="4">
        <f>PrefetchDBSummary!C$37</f>
        <v>0</v>
      </c>
      <c r="I491" s="4">
        <f>PrefetchDBSummary!D$37</f>
        <v>0</v>
      </c>
      <c r="J491" s="5">
        <f t="shared" si="88"/>
        <v>0</v>
      </c>
      <c r="K491" s="4">
        <f t="shared" si="89"/>
        <v>0</v>
      </c>
      <c r="L491" s="4">
        <f t="shared" si="90"/>
        <v>0</v>
      </c>
      <c r="M491" s="5">
        <f t="shared" si="91"/>
        <v>0</v>
      </c>
      <c r="N491" s="17">
        <f t="shared" si="86"/>
        <v>0</v>
      </c>
      <c r="O491" s="32">
        <f t="shared" si="87"/>
        <v>0</v>
      </c>
      <c r="AG491" t="s">
        <v>946</v>
      </c>
      <c r="AH491" t="s">
        <v>583</v>
      </c>
      <c r="AI491">
        <v>5</v>
      </c>
      <c r="AJ491">
        <v>8</v>
      </c>
      <c r="AK491">
        <v>9</v>
      </c>
      <c r="AL491">
        <v>4</v>
      </c>
      <c r="AM491">
        <v>229</v>
      </c>
      <c r="AN491">
        <v>385</v>
      </c>
      <c r="AO491">
        <v>184</v>
      </c>
      <c r="AQ491" s="27">
        <f t="shared" si="92"/>
        <v>4810.6</v>
      </c>
    </row>
    <row r="492" spans="1:43" ht="12.75">
      <c r="A492" t="s">
        <v>933</v>
      </c>
      <c r="B492" s="7" t="s">
        <v>1037</v>
      </c>
      <c r="C492" t="s">
        <v>935</v>
      </c>
      <c r="D492" s="19">
        <v>1</v>
      </c>
      <c r="E492" s="7" t="s">
        <v>721</v>
      </c>
      <c r="F492" s="19"/>
      <c r="G492" s="4">
        <f>IF(F492&gt;0,F492,IF(PrefetchDBSummary!$C$10="B",AJ492,8))</f>
        <v>8</v>
      </c>
      <c r="H492" s="4">
        <f>PrefetchDBSummary!C$37</f>
        <v>0</v>
      </c>
      <c r="I492" s="4">
        <f>PrefetchDBSummary!D$37</f>
        <v>0</v>
      </c>
      <c r="J492" s="5">
        <f t="shared" si="88"/>
        <v>0</v>
      </c>
      <c r="K492" s="4">
        <f t="shared" si="89"/>
        <v>0</v>
      </c>
      <c r="L492" s="4">
        <f t="shared" si="90"/>
        <v>0</v>
      </c>
      <c r="M492" s="5">
        <f t="shared" si="91"/>
        <v>0</v>
      </c>
      <c r="N492" s="17">
        <f t="shared" si="86"/>
        <v>0</v>
      </c>
      <c r="O492" s="32">
        <f t="shared" si="87"/>
        <v>0</v>
      </c>
      <c r="AG492" t="s">
        <v>947</v>
      </c>
      <c r="AH492" t="s">
        <v>582</v>
      </c>
      <c r="AI492">
        <v>60</v>
      </c>
      <c r="AJ492">
        <v>8</v>
      </c>
      <c r="AK492">
        <v>6</v>
      </c>
      <c r="AL492">
        <v>0</v>
      </c>
      <c r="AM492">
        <v>442</v>
      </c>
      <c r="AN492">
        <v>442</v>
      </c>
      <c r="AO492">
        <v>432</v>
      </c>
      <c r="AQ492" s="27">
        <f t="shared" si="92"/>
        <v>569.8</v>
      </c>
    </row>
    <row r="493" spans="1:43" ht="12.75">
      <c r="A493" t="s">
        <v>933</v>
      </c>
      <c r="B493" s="7" t="s">
        <v>1037</v>
      </c>
      <c r="C493" t="s">
        <v>936</v>
      </c>
      <c r="D493" s="19">
        <v>12</v>
      </c>
      <c r="E493" s="7"/>
      <c r="F493" s="19"/>
      <c r="G493" s="4">
        <f>IF(F493&gt;0,F493,IF(PrefetchDBSummary!$C$10="B",AJ493,8))</f>
        <v>8</v>
      </c>
      <c r="H493" s="4">
        <f>PrefetchDBSummary!C$37</f>
        <v>0</v>
      </c>
      <c r="I493" s="4">
        <f>PrefetchDBSummary!D$37</f>
        <v>0</v>
      </c>
      <c r="J493" s="5">
        <f t="shared" si="88"/>
        <v>0</v>
      </c>
      <c r="K493" s="4">
        <f t="shared" si="89"/>
        <v>0</v>
      </c>
      <c r="L493" s="4">
        <f t="shared" si="90"/>
        <v>0</v>
      </c>
      <c r="M493" s="5">
        <f t="shared" si="91"/>
        <v>0</v>
      </c>
      <c r="N493" s="17">
        <f t="shared" si="86"/>
        <v>0</v>
      </c>
      <c r="O493" s="32">
        <f t="shared" si="87"/>
        <v>0</v>
      </c>
      <c r="AG493" t="s">
        <v>948</v>
      </c>
      <c r="AH493" t="s">
        <v>583</v>
      </c>
      <c r="AI493">
        <v>5</v>
      </c>
      <c r="AJ493">
        <v>8</v>
      </c>
      <c r="AK493">
        <v>6</v>
      </c>
      <c r="AL493">
        <v>0</v>
      </c>
      <c r="AM493">
        <v>558</v>
      </c>
      <c r="AN493">
        <v>558</v>
      </c>
      <c r="AO493">
        <v>532</v>
      </c>
      <c r="AQ493" s="27">
        <f t="shared" si="92"/>
        <v>3505.6000000000004</v>
      </c>
    </row>
    <row r="494" spans="1:43" ht="12.75">
      <c r="A494" t="s">
        <v>933</v>
      </c>
      <c r="B494" s="7" t="s">
        <v>1037</v>
      </c>
      <c r="C494" t="s">
        <v>937</v>
      </c>
      <c r="D494" s="19">
        <v>3</v>
      </c>
      <c r="E494" s="7"/>
      <c r="F494" s="19"/>
      <c r="G494" s="4">
        <f>IF(F494&gt;0,F494,IF(PrefetchDBSummary!$C$10="B",AJ494,8))</f>
        <v>8</v>
      </c>
      <c r="H494" s="4">
        <f>PrefetchDBSummary!C$37</f>
        <v>0</v>
      </c>
      <c r="I494" s="4">
        <f>PrefetchDBSummary!D$37</f>
        <v>0</v>
      </c>
      <c r="J494" s="5">
        <f t="shared" si="88"/>
        <v>0</v>
      </c>
      <c r="K494" s="4">
        <f t="shared" si="89"/>
        <v>0</v>
      </c>
      <c r="L494" s="4">
        <f t="shared" si="90"/>
        <v>0</v>
      </c>
      <c r="M494" s="5">
        <f t="shared" si="91"/>
        <v>0</v>
      </c>
      <c r="N494" s="17">
        <f t="shared" si="86"/>
        <v>0</v>
      </c>
      <c r="O494" s="32">
        <f t="shared" si="87"/>
        <v>0</v>
      </c>
      <c r="AG494" t="s">
        <v>949</v>
      </c>
      <c r="AH494" t="s">
        <v>583</v>
      </c>
      <c r="AI494">
        <v>1</v>
      </c>
      <c r="AJ494">
        <v>32</v>
      </c>
      <c r="AK494">
        <v>7</v>
      </c>
      <c r="AL494">
        <v>3</v>
      </c>
      <c r="AM494">
        <v>135</v>
      </c>
      <c r="AN494">
        <v>252</v>
      </c>
      <c r="AO494">
        <v>96</v>
      </c>
      <c r="AQ494" s="27">
        <f t="shared" si="92"/>
        <v>684.2</v>
      </c>
    </row>
    <row r="495" spans="1:43" ht="12.75">
      <c r="A495" t="s">
        <v>933</v>
      </c>
      <c r="B495" s="7" t="s">
        <v>1037</v>
      </c>
      <c r="C495" s="7" t="s">
        <v>938</v>
      </c>
      <c r="D495" s="19">
        <v>1</v>
      </c>
      <c r="E495" s="7" t="s">
        <v>721</v>
      </c>
      <c r="F495" s="19"/>
      <c r="G495" s="4">
        <f>IF(F495&gt;0,F495,IF(PrefetchDBSummary!$C$10="B",AJ495,8))</f>
        <v>8</v>
      </c>
      <c r="H495" s="4">
        <f>PrefetchDBSummary!C$37</f>
        <v>0</v>
      </c>
      <c r="I495" s="4">
        <f>PrefetchDBSummary!D$37</f>
        <v>0</v>
      </c>
      <c r="J495" s="5">
        <f t="shared" si="88"/>
        <v>0</v>
      </c>
      <c r="K495" s="4">
        <f t="shared" si="89"/>
        <v>0</v>
      </c>
      <c r="L495" s="4">
        <f t="shared" si="90"/>
        <v>0</v>
      </c>
      <c r="M495" s="5">
        <f t="shared" si="91"/>
        <v>0</v>
      </c>
      <c r="N495" s="17">
        <f aca="true" t="shared" si="93" ref="N495:N558">L495*60*24*IF(G495&gt;0,G495,(G495))</f>
        <v>0</v>
      </c>
      <c r="O495" s="32">
        <f aca="true" t="shared" si="94" ref="O495:O558">N495*($AM495-$AO495*IF($AP495&gt;0,1-$AP495,1-$AS$2))*(1-$AS$3)/1024/1024</f>
        <v>0</v>
      </c>
      <c r="AG495" t="s">
        <v>950</v>
      </c>
      <c r="AH495" t="s">
        <v>582</v>
      </c>
      <c r="AI495">
        <v>60</v>
      </c>
      <c r="AJ495">
        <v>8</v>
      </c>
      <c r="AK495">
        <v>3</v>
      </c>
      <c r="AL495">
        <v>0</v>
      </c>
      <c r="AM495">
        <v>635</v>
      </c>
      <c r="AN495">
        <v>635</v>
      </c>
      <c r="AO495">
        <v>632</v>
      </c>
      <c r="AQ495" s="27">
        <f t="shared" si="92"/>
        <v>585.8</v>
      </c>
    </row>
    <row r="496" spans="1:43" ht="12.75">
      <c r="A496" t="s">
        <v>933</v>
      </c>
      <c r="B496" s="7" t="s">
        <v>1037</v>
      </c>
      <c r="C496" t="s">
        <v>939</v>
      </c>
      <c r="D496" s="19">
        <v>15</v>
      </c>
      <c r="E496" s="7"/>
      <c r="F496" s="19"/>
      <c r="G496" s="4">
        <f>IF(F496&gt;0,F496,IF(PrefetchDBSummary!$C$10="B",AJ496,8))</f>
        <v>8</v>
      </c>
      <c r="H496" s="4">
        <f>PrefetchDBSummary!C$37</f>
        <v>0</v>
      </c>
      <c r="I496" s="4">
        <f>PrefetchDBSummary!D$37</f>
        <v>0</v>
      </c>
      <c r="J496" s="5">
        <f t="shared" si="88"/>
        <v>0</v>
      </c>
      <c r="K496" s="4">
        <f t="shared" si="89"/>
        <v>0</v>
      </c>
      <c r="L496" s="4">
        <f t="shared" si="90"/>
        <v>0</v>
      </c>
      <c r="M496" s="5">
        <f t="shared" si="91"/>
        <v>0</v>
      </c>
      <c r="N496" s="17">
        <f t="shared" si="93"/>
        <v>0</v>
      </c>
      <c r="O496" s="32">
        <f t="shared" si="94"/>
        <v>0</v>
      </c>
      <c r="AG496" t="s">
        <v>951</v>
      </c>
      <c r="AH496" t="s">
        <v>583</v>
      </c>
      <c r="AI496">
        <v>5</v>
      </c>
      <c r="AJ496">
        <v>8</v>
      </c>
      <c r="AK496">
        <v>3</v>
      </c>
      <c r="AL496">
        <v>0</v>
      </c>
      <c r="AM496">
        <v>139</v>
      </c>
      <c r="AN496">
        <v>139</v>
      </c>
      <c r="AO496">
        <v>132</v>
      </c>
      <c r="AQ496" s="27">
        <f t="shared" si="92"/>
        <v>1549.0000000000002</v>
      </c>
    </row>
    <row r="497" spans="1:43" ht="12.75">
      <c r="A497" t="s">
        <v>933</v>
      </c>
      <c r="B497" s="7" t="s">
        <v>1037</v>
      </c>
      <c r="C497" t="s">
        <v>940</v>
      </c>
      <c r="D497" s="19">
        <v>60</v>
      </c>
      <c r="E497" s="7"/>
      <c r="F497" s="19"/>
      <c r="G497" s="4">
        <f>IF(F497&gt;0,F497,IF(PrefetchDBSummary!$C$10="B",AJ497,8))</f>
        <v>8</v>
      </c>
      <c r="H497" s="4">
        <f>PrefetchDBSummary!C$37</f>
        <v>0</v>
      </c>
      <c r="I497" s="4">
        <f>PrefetchDBSummary!D$37</f>
        <v>0</v>
      </c>
      <c r="J497" s="5">
        <f t="shared" si="88"/>
        <v>0</v>
      </c>
      <c r="K497" s="4">
        <f t="shared" si="89"/>
        <v>0</v>
      </c>
      <c r="L497" s="4">
        <f t="shared" si="90"/>
        <v>0</v>
      </c>
      <c r="M497" s="5">
        <f t="shared" si="91"/>
        <v>0</v>
      </c>
      <c r="N497" s="17">
        <f t="shared" si="93"/>
        <v>0</v>
      </c>
      <c r="O497" s="32">
        <f t="shared" si="94"/>
        <v>0</v>
      </c>
      <c r="AG497" t="s">
        <v>952</v>
      </c>
      <c r="AH497" t="s">
        <v>583</v>
      </c>
      <c r="AI497">
        <v>5</v>
      </c>
      <c r="AJ497">
        <v>8</v>
      </c>
      <c r="AK497">
        <v>4</v>
      </c>
      <c r="AL497">
        <v>0</v>
      </c>
      <c r="AM497">
        <v>168</v>
      </c>
      <c r="AN497">
        <v>168</v>
      </c>
      <c r="AO497">
        <v>160</v>
      </c>
      <c r="AQ497" s="27">
        <f t="shared" si="92"/>
        <v>6026</v>
      </c>
    </row>
    <row r="498" spans="1:43" ht="12.75">
      <c r="A498" t="s">
        <v>933</v>
      </c>
      <c r="B498" s="7" t="s">
        <v>1037</v>
      </c>
      <c r="C498" t="s">
        <v>941</v>
      </c>
      <c r="D498" s="19">
        <v>1</v>
      </c>
      <c r="E498" s="7" t="s">
        <v>721</v>
      </c>
      <c r="F498" s="19"/>
      <c r="G498" s="4">
        <f>IF(F498&gt;0,F498,IF(PrefetchDBSummary!$C$10="B",AJ498,8))</f>
        <v>8</v>
      </c>
      <c r="H498" s="4">
        <f>PrefetchDBSummary!C$37</f>
        <v>0</v>
      </c>
      <c r="I498" s="4">
        <f>PrefetchDBSummary!D$37</f>
        <v>0</v>
      </c>
      <c r="J498" s="5">
        <f t="shared" si="88"/>
        <v>0</v>
      </c>
      <c r="K498" s="4">
        <f t="shared" si="89"/>
        <v>0</v>
      </c>
      <c r="L498" s="4">
        <f t="shared" si="90"/>
        <v>0</v>
      </c>
      <c r="M498" s="5">
        <f t="shared" si="91"/>
        <v>0</v>
      </c>
      <c r="N498" s="17">
        <f t="shared" si="93"/>
        <v>0</v>
      </c>
      <c r="O498" s="32">
        <f t="shared" si="94"/>
        <v>0</v>
      </c>
      <c r="AG498" t="s">
        <v>953</v>
      </c>
      <c r="AH498" t="s">
        <v>582</v>
      </c>
      <c r="AI498">
        <v>60</v>
      </c>
      <c r="AJ498">
        <v>8</v>
      </c>
      <c r="AK498">
        <v>3</v>
      </c>
      <c r="AL498">
        <v>0</v>
      </c>
      <c r="AM498">
        <v>235</v>
      </c>
      <c r="AN498">
        <v>235</v>
      </c>
      <c r="AO498">
        <v>232</v>
      </c>
      <c r="AQ498" s="27">
        <f t="shared" si="92"/>
        <v>425.8</v>
      </c>
    </row>
    <row r="499" spans="1:43" ht="12.75">
      <c r="A499" t="s">
        <v>933</v>
      </c>
      <c r="B499" s="7" t="s">
        <v>1037</v>
      </c>
      <c r="C499" t="s">
        <v>942</v>
      </c>
      <c r="D499" s="19">
        <v>4</v>
      </c>
      <c r="E499" s="7"/>
      <c r="F499" s="19"/>
      <c r="G499" s="4">
        <f>IF(F499&gt;0,F499,IF(PrefetchDBSummary!$C$10="B",AJ499,8))</f>
        <v>8</v>
      </c>
      <c r="H499" s="4">
        <f>PrefetchDBSummary!C$37</f>
        <v>0</v>
      </c>
      <c r="I499" s="4">
        <f>PrefetchDBSummary!D$37</f>
        <v>0</v>
      </c>
      <c r="J499" s="5">
        <f t="shared" si="88"/>
        <v>0</v>
      </c>
      <c r="K499" s="4">
        <f t="shared" si="89"/>
        <v>0</v>
      </c>
      <c r="L499" s="4">
        <f t="shared" si="90"/>
        <v>0</v>
      </c>
      <c r="M499" s="5">
        <f t="shared" si="91"/>
        <v>0</v>
      </c>
      <c r="N499" s="17">
        <f t="shared" si="93"/>
        <v>0</v>
      </c>
      <c r="O499" s="32">
        <f t="shared" si="94"/>
        <v>0</v>
      </c>
      <c r="AG499" t="s">
        <v>954</v>
      </c>
      <c r="AH499" t="s">
        <v>583</v>
      </c>
      <c r="AI499">
        <v>5</v>
      </c>
      <c r="AJ499">
        <v>8</v>
      </c>
      <c r="AK499">
        <v>8</v>
      </c>
      <c r="AL499">
        <v>1</v>
      </c>
      <c r="AM499">
        <v>512</v>
      </c>
      <c r="AN499">
        <v>563</v>
      </c>
      <c r="AO499">
        <v>488</v>
      </c>
      <c r="AQ499" s="27">
        <f t="shared" si="92"/>
        <v>1370.8000000000002</v>
      </c>
    </row>
    <row r="500" spans="1:43" ht="12.75">
      <c r="A500" t="s">
        <v>933</v>
      </c>
      <c r="B500" s="7" t="s">
        <v>1037</v>
      </c>
      <c r="C500" t="s">
        <v>943</v>
      </c>
      <c r="D500" s="19">
        <v>4</v>
      </c>
      <c r="E500" s="7" t="s">
        <v>745</v>
      </c>
      <c r="F500" s="19"/>
      <c r="G500" s="4">
        <f>IF(F500&gt;0,F500,IF(PrefetchDBSummary!$C$10="B",AJ500,8))</f>
        <v>8</v>
      </c>
      <c r="H500" s="4">
        <f>PrefetchDBSummary!C$37</f>
        <v>0</v>
      </c>
      <c r="I500" s="4">
        <f>PrefetchDBSummary!D$37</f>
        <v>0</v>
      </c>
      <c r="J500" s="5">
        <f t="shared" si="88"/>
        <v>0</v>
      </c>
      <c r="K500" s="4">
        <f t="shared" si="89"/>
        <v>0</v>
      </c>
      <c r="L500" s="4">
        <f t="shared" si="90"/>
        <v>0</v>
      </c>
      <c r="M500" s="5">
        <f t="shared" si="91"/>
        <v>0</v>
      </c>
      <c r="N500" s="17">
        <f t="shared" si="93"/>
        <v>0</v>
      </c>
      <c r="O500" s="32">
        <f t="shared" si="94"/>
        <v>0</v>
      </c>
      <c r="AG500" t="s">
        <v>955</v>
      </c>
      <c r="AH500" t="s">
        <v>583</v>
      </c>
      <c r="AI500">
        <v>5</v>
      </c>
      <c r="AJ500">
        <v>8</v>
      </c>
      <c r="AK500">
        <v>5</v>
      </c>
      <c r="AL500">
        <v>1</v>
      </c>
      <c r="AM500">
        <v>245</v>
      </c>
      <c r="AN500">
        <v>296</v>
      </c>
      <c r="AO500">
        <v>224</v>
      </c>
      <c r="AQ500" s="27">
        <f t="shared" si="92"/>
        <v>879.4000000000001</v>
      </c>
    </row>
    <row r="501" spans="1:43" ht="12.75">
      <c r="A501" t="s">
        <v>933</v>
      </c>
      <c r="B501" s="7" t="s">
        <v>1037</v>
      </c>
      <c r="C501" t="s">
        <v>944</v>
      </c>
      <c r="D501" s="19">
        <v>1</v>
      </c>
      <c r="E501" s="7" t="s">
        <v>959</v>
      </c>
      <c r="F501" s="19"/>
      <c r="G501" s="4">
        <f>IF(F501&gt;0,F501,IF(PrefetchDBSummary!$C$10="B",AJ501,8))</f>
        <v>8</v>
      </c>
      <c r="H501" s="4">
        <f>PrefetchDBSummary!C$37</f>
        <v>0</v>
      </c>
      <c r="I501" s="4">
        <f>PrefetchDBSummary!D$37</f>
        <v>0</v>
      </c>
      <c r="J501" s="5">
        <f t="shared" si="88"/>
        <v>0</v>
      </c>
      <c r="K501" s="4">
        <f t="shared" si="89"/>
        <v>0</v>
      </c>
      <c r="L501" s="4">
        <f t="shared" si="90"/>
        <v>0</v>
      </c>
      <c r="M501" s="5">
        <f t="shared" si="91"/>
        <v>0</v>
      </c>
      <c r="N501" s="17">
        <f t="shared" si="93"/>
        <v>0</v>
      </c>
      <c r="O501" s="32">
        <f t="shared" si="94"/>
        <v>0</v>
      </c>
      <c r="AG501" t="s">
        <v>956</v>
      </c>
      <c r="AH501" t="s">
        <v>583</v>
      </c>
      <c r="AI501">
        <v>5</v>
      </c>
      <c r="AJ501">
        <v>8</v>
      </c>
      <c r="AK501">
        <v>3</v>
      </c>
      <c r="AL501">
        <v>0</v>
      </c>
      <c r="AM501">
        <v>163</v>
      </c>
      <c r="AN501">
        <v>163</v>
      </c>
      <c r="AO501">
        <v>160</v>
      </c>
      <c r="AQ501" s="27">
        <f t="shared" si="92"/>
        <v>397</v>
      </c>
    </row>
    <row r="502" spans="1:43" ht="12.75">
      <c r="A502" t="s">
        <v>933</v>
      </c>
      <c r="B502" s="7" t="s">
        <v>1037</v>
      </c>
      <c r="C502" t="s">
        <v>945</v>
      </c>
      <c r="D502" s="19">
        <v>8</v>
      </c>
      <c r="E502" s="7" t="s">
        <v>801</v>
      </c>
      <c r="F502" s="19"/>
      <c r="G502" s="4">
        <f>IF(F502&gt;0,F502,IF(PrefetchDBSummary!$C$10="B",AJ502,8))</f>
        <v>8</v>
      </c>
      <c r="H502" s="4">
        <f>PrefetchDBSummary!C$37</f>
        <v>0</v>
      </c>
      <c r="I502" s="4">
        <f>PrefetchDBSummary!D$37</f>
        <v>0</v>
      </c>
      <c r="J502" s="5">
        <f t="shared" si="88"/>
        <v>0</v>
      </c>
      <c r="K502" s="4">
        <f t="shared" si="89"/>
        <v>0</v>
      </c>
      <c r="L502" s="4">
        <f t="shared" si="90"/>
        <v>0</v>
      </c>
      <c r="M502" s="5">
        <f t="shared" si="91"/>
        <v>0</v>
      </c>
      <c r="N502" s="17">
        <f t="shared" si="93"/>
        <v>0</v>
      </c>
      <c r="O502" s="32">
        <f t="shared" si="94"/>
        <v>0</v>
      </c>
      <c r="AG502" t="s">
        <v>957</v>
      </c>
      <c r="AH502" t="s">
        <v>583</v>
      </c>
      <c r="AI502">
        <v>5</v>
      </c>
      <c r="AJ502">
        <v>8</v>
      </c>
      <c r="AK502">
        <v>6</v>
      </c>
      <c r="AL502">
        <v>0</v>
      </c>
      <c r="AM502">
        <v>358</v>
      </c>
      <c r="AN502">
        <v>358</v>
      </c>
      <c r="AO502">
        <v>352</v>
      </c>
      <c r="AQ502" s="27">
        <f t="shared" si="92"/>
        <v>1722.4</v>
      </c>
    </row>
    <row r="503" spans="1:43" ht="12.75">
      <c r="A503" s="1" t="s">
        <v>562</v>
      </c>
      <c r="B503" s="7" t="s">
        <v>2032</v>
      </c>
      <c r="C503" t="s">
        <v>7</v>
      </c>
      <c r="D503" s="19">
        <v>1</v>
      </c>
      <c r="E503" s="7" t="s">
        <v>807</v>
      </c>
      <c r="F503" s="19"/>
      <c r="G503" s="4">
        <f>IF(F503&gt;0,F503,IF(PrefetchDBSummary!$C$10="B",AJ503,8))</f>
        <v>8</v>
      </c>
      <c r="H503" s="4">
        <f>PrefetchDBSummary!$C$50</f>
        <v>0</v>
      </c>
      <c r="I503" s="4">
        <f>PrefetchDBSummary!$D$50</f>
        <v>0</v>
      </c>
      <c r="J503" s="5">
        <f t="shared" si="88"/>
        <v>0</v>
      </c>
      <c r="K503" s="4">
        <f t="shared" si="89"/>
        <v>0</v>
      </c>
      <c r="L503" s="4">
        <f t="shared" si="90"/>
        <v>0</v>
      </c>
      <c r="M503" s="5">
        <f t="shared" si="91"/>
        <v>0</v>
      </c>
      <c r="N503" s="17">
        <f t="shared" si="93"/>
        <v>0</v>
      </c>
      <c r="O503" s="32">
        <f t="shared" si="94"/>
        <v>0</v>
      </c>
      <c r="AG503" t="s">
        <v>8</v>
      </c>
      <c r="AH503" t="s">
        <v>583</v>
      </c>
      <c r="AI503">
        <v>1</v>
      </c>
      <c r="AJ503">
        <v>8</v>
      </c>
      <c r="AK503">
        <v>6</v>
      </c>
      <c r="AL503">
        <v>0</v>
      </c>
      <c r="AM503">
        <v>438</v>
      </c>
      <c r="AN503">
        <v>438</v>
      </c>
      <c r="AO503">
        <v>412</v>
      </c>
      <c r="AP503" s="44">
        <v>0.8033980582524272</v>
      </c>
      <c r="AQ503" s="27">
        <f t="shared" si="92"/>
        <v>494</v>
      </c>
    </row>
    <row r="504" spans="1:43" ht="12.75">
      <c r="A504" s="1" t="s">
        <v>562</v>
      </c>
      <c r="B504" s="7" t="s">
        <v>2032</v>
      </c>
      <c r="C504" t="s">
        <v>363</v>
      </c>
      <c r="D504" s="19">
        <v>1</v>
      </c>
      <c r="E504" s="7" t="s">
        <v>747</v>
      </c>
      <c r="F504" s="19"/>
      <c r="G504" s="4">
        <f>IF(F504&gt;0,F504,IF(PrefetchDBSummary!$C$10="B",AJ504,8))</f>
        <v>8</v>
      </c>
      <c r="H504" s="4">
        <f>PrefetchDBSummary!$C$50</f>
        <v>0</v>
      </c>
      <c r="I504" s="4">
        <f>PrefetchDBSummary!$D$50</f>
        <v>0</v>
      </c>
      <c r="J504" s="5">
        <f t="shared" si="88"/>
        <v>0</v>
      </c>
      <c r="K504" s="4">
        <f t="shared" si="89"/>
        <v>0</v>
      </c>
      <c r="L504" s="4">
        <f t="shared" si="90"/>
        <v>0</v>
      </c>
      <c r="M504" s="5">
        <f t="shared" si="91"/>
        <v>0</v>
      </c>
      <c r="N504" s="17">
        <f t="shared" si="93"/>
        <v>0</v>
      </c>
      <c r="O504" s="32">
        <f t="shared" si="94"/>
        <v>0</v>
      </c>
      <c r="AG504" t="s">
        <v>364</v>
      </c>
      <c r="AH504" t="s">
        <v>583</v>
      </c>
      <c r="AI504">
        <v>1</v>
      </c>
      <c r="AJ504">
        <v>8</v>
      </c>
      <c r="AK504">
        <v>6</v>
      </c>
      <c r="AL504">
        <v>2</v>
      </c>
      <c r="AM504">
        <v>154</v>
      </c>
      <c r="AN504">
        <v>184</v>
      </c>
      <c r="AO504">
        <v>128</v>
      </c>
      <c r="AP504" s="44"/>
      <c r="AQ504" s="27">
        <f t="shared" si="92"/>
        <v>464.2</v>
      </c>
    </row>
    <row r="505" spans="1:43" ht="12.75">
      <c r="A505" s="1" t="s">
        <v>562</v>
      </c>
      <c r="B505" s="7" t="s">
        <v>2032</v>
      </c>
      <c r="C505" t="s">
        <v>1413</v>
      </c>
      <c r="D505" s="19">
        <v>4</v>
      </c>
      <c r="E505" s="7"/>
      <c r="F505" s="19"/>
      <c r="G505" s="4">
        <f>IF(F505&gt;0,F505,IF(PrefetchDBSummary!$C$10="B",AJ505,8))</f>
        <v>8</v>
      </c>
      <c r="H505" s="4">
        <f>PrefetchDBSummary!$C$50</f>
        <v>0</v>
      </c>
      <c r="I505" s="4">
        <f>PrefetchDBSummary!$D$50</f>
        <v>0</v>
      </c>
      <c r="J505" s="5">
        <f t="shared" si="88"/>
        <v>0</v>
      </c>
      <c r="K505" s="4">
        <f t="shared" si="89"/>
        <v>0</v>
      </c>
      <c r="L505" s="4">
        <f t="shared" si="90"/>
        <v>0</v>
      </c>
      <c r="M505" s="5">
        <f t="shared" si="91"/>
        <v>0</v>
      </c>
      <c r="N505" s="17">
        <f t="shared" si="93"/>
        <v>0</v>
      </c>
      <c r="O505" s="32">
        <f t="shared" si="94"/>
        <v>0</v>
      </c>
      <c r="AG505" t="s">
        <v>1425</v>
      </c>
      <c r="AH505" t="s">
        <v>583</v>
      </c>
      <c r="AI505">
        <v>1</v>
      </c>
      <c r="AJ505">
        <v>8</v>
      </c>
      <c r="AK505">
        <v>10</v>
      </c>
      <c r="AL505">
        <v>1</v>
      </c>
      <c r="AM505">
        <v>214</v>
      </c>
      <c r="AN505">
        <v>265</v>
      </c>
      <c r="AO505">
        <v>128</v>
      </c>
      <c r="AP505" s="44"/>
      <c r="AQ505" s="27">
        <f t="shared" si="92"/>
        <v>1080.8</v>
      </c>
    </row>
    <row r="506" spans="1:43" ht="12.75">
      <c r="A506" s="1" t="s">
        <v>562</v>
      </c>
      <c r="B506" s="7" t="s">
        <v>2032</v>
      </c>
      <c r="C506" t="s">
        <v>1414</v>
      </c>
      <c r="D506" s="19">
        <v>8</v>
      </c>
      <c r="E506" s="7"/>
      <c r="F506" s="19"/>
      <c r="G506" s="4">
        <f>IF(F506&gt;0,F506,IF(PrefetchDBSummary!$C$10="B",AJ506,8))</f>
        <v>8</v>
      </c>
      <c r="H506" s="4">
        <f>PrefetchDBSummary!$C$50</f>
        <v>0</v>
      </c>
      <c r="I506" s="4">
        <f>PrefetchDBSummary!$D$50</f>
        <v>0</v>
      </c>
      <c r="J506" s="5">
        <f t="shared" si="88"/>
        <v>0</v>
      </c>
      <c r="K506" s="4">
        <f t="shared" si="89"/>
        <v>0</v>
      </c>
      <c r="L506" s="4">
        <f t="shared" si="90"/>
        <v>0</v>
      </c>
      <c r="M506" s="5">
        <f t="shared" si="91"/>
        <v>0</v>
      </c>
      <c r="N506" s="17">
        <f t="shared" si="93"/>
        <v>0</v>
      </c>
      <c r="O506" s="32">
        <f t="shared" si="94"/>
        <v>0</v>
      </c>
      <c r="AG506" t="s">
        <v>1426</v>
      </c>
      <c r="AH506" t="s">
        <v>583</v>
      </c>
      <c r="AI506">
        <v>1</v>
      </c>
      <c r="AJ506">
        <v>8</v>
      </c>
      <c r="AK506">
        <v>12</v>
      </c>
      <c r="AL506">
        <v>3</v>
      </c>
      <c r="AM506">
        <v>248</v>
      </c>
      <c r="AN506">
        <v>401</v>
      </c>
      <c r="AO506">
        <v>128</v>
      </c>
      <c r="AP506" s="44"/>
      <c r="AQ506" s="27">
        <f t="shared" si="92"/>
        <v>2031.6</v>
      </c>
    </row>
    <row r="507" spans="1:43" ht="12.75">
      <c r="A507" s="1" t="s">
        <v>562</v>
      </c>
      <c r="B507" s="7" t="s">
        <v>2032</v>
      </c>
      <c r="C507" t="s">
        <v>11</v>
      </c>
      <c r="D507" s="19">
        <v>1</v>
      </c>
      <c r="E507" s="7" t="s">
        <v>747</v>
      </c>
      <c r="F507" s="19"/>
      <c r="G507" s="4">
        <f>IF(F507&gt;0,F507,IF(PrefetchDBSummary!$C$10="B",AJ507,8))</f>
        <v>8</v>
      </c>
      <c r="H507" s="4">
        <f>PrefetchDBSummary!$C$50</f>
        <v>0</v>
      </c>
      <c r="I507" s="4">
        <f>PrefetchDBSummary!$D$50</f>
        <v>0</v>
      </c>
      <c r="J507" s="5">
        <f t="shared" si="88"/>
        <v>0</v>
      </c>
      <c r="K507" s="4">
        <f t="shared" si="89"/>
        <v>0</v>
      </c>
      <c r="L507" s="4">
        <f t="shared" si="90"/>
        <v>0</v>
      </c>
      <c r="M507" s="5">
        <f t="shared" si="91"/>
        <v>0</v>
      </c>
      <c r="N507" s="17">
        <f t="shared" si="93"/>
        <v>0</v>
      </c>
      <c r="O507" s="32">
        <f t="shared" si="94"/>
        <v>0</v>
      </c>
      <c r="AG507" t="s">
        <v>12</v>
      </c>
      <c r="AH507" t="s">
        <v>583</v>
      </c>
      <c r="AI507">
        <v>1</v>
      </c>
      <c r="AJ507">
        <v>8</v>
      </c>
      <c r="AK507">
        <v>6</v>
      </c>
      <c r="AL507">
        <v>1</v>
      </c>
      <c r="AM507">
        <v>154</v>
      </c>
      <c r="AN507">
        <v>205</v>
      </c>
      <c r="AO507">
        <v>96</v>
      </c>
      <c r="AP507" s="44">
        <v>0.44791666666666663</v>
      </c>
      <c r="AQ507" s="27">
        <f t="shared" si="92"/>
        <v>498</v>
      </c>
    </row>
    <row r="508" spans="1:43" ht="12.75">
      <c r="A508" s="1" t="s">
        <v>562</v>
      </c>
      <c r="B508" s="7" t="s">
        <v>2032</v>
      </c>
      <c r="C508" t="s">
        <v>164</v>
      </c>
      <c r="D508" s="19">
        <v>1</v>
      </c>
      <c r="E508" s="7" t="s">
        <v>747</v>
      </c>
      <c r="F508" s="19"/>
      <c r="G508" s="4">
        <f>IF(F508&gt;0,F508,IF(PrefetchDBSummary!$C$10="B",AJ508,8))</f>
        <v>8</v>
      </c>
      <c r="H508" s="4">
        <f>PrefetchDBSummary!$C$50</f>
        <v>0</v>
      </c>
      <c r="I508" s="4">
        <f>PrefetchDBSummary!$D$50</f>
        <v>0</v>
      </c>
      <c r="J508" s="5">
        <f t="shared" si="88"/>
        <v>0</v>
      </c>
      <c r="K508" s="4">
        <f t="shared" si="89"/>
        <v>0</v>
      </c>
      <c r="L508" s="4">
        <f t="shared" si="90"/>
        <v>0</v>
      </c>
      <c r="M508" s="5">
        <f t="shared" si="91"/>
        <v>0</v>
      </c>
      <c r="N508" s="17">
        <f t="shared" si="93"/>
        <v>0</v>
      </c>
      <c r="O508" s="32">
        <f t="shared" si="94"/>
        <v>0</v>
      </c>
      <c r="AG508" t="s">
        <v>165</v>
      </c>
      <c r="AH508" t="s">
        <v>583</v>
      </c>
      <c r="AI508">
        <v>1</v>
      </c>
      <c r="AJ508">
        <v>8</v>
      </c>
      <c r="AK508">
        <v>6</v>
      </c>
      <c r="AL508">
        <v>1</v>
      </c>
      <c r="AM508">
        <v>154</v>
      </c>
      <c r="AN508">
        <v>205</v>
      </c>
      <c r="AO508">
        <v>96</v>
      </c>
      <c r="AP508" s="44">
        <v>0.44791666666666663</v>
      </c>
      <c r="AQ508" s="27">
        <f t="shared" si="92"/>
        <v>498</v>
      </c>
    </row>
    <row r="509" spans="1:43" ht="12.75">
      <c r="A509" s="1" t="s">
        <v>562</v>
      </c>
      <c r="B509" s="7" t="s">
        <v>2032</v>
      </c>
      <c r="C509" t="s">
        <v>1415</v>
      </c>
      <c r="D509" s="19">
        <v>1</v>
      </c>
      <c r="E509" s="7"/>
      <c r="F509" s="19"/>
      <c r="G509" s="4">
        <f>IF(F509&gt;0,F509,IF(PrefetchDBSummary!$C$10="B",AJ509,8))</f>
        <v>8</v>
      </c>
      <c r="H509" s="4">
        <f>PrefetchDBSummary!$C$50</f>
        <v>0</v>
      </c>
      <c r="I509" s="4">
        <f>PrefetchDBSummary!$D$50</f>
        <v>0</v>
      </c>
      <c r="J509" s="5">
        <f t="shared" si="88"/>
        <v>0</v>
      </c>
      <c r="K509" s="4">
        <f t="shared" si="89"/>
        <v>0</v>
      </c>
      <c r="L509" s="4">
        <f t="shared" si="90"/>
        <v>0</v>
      </c>
      <c r="M509" s="5">
        <f t="shared" si="91"/>
        <v>0</v>
      </c>
      <c r="N509" s="17">
        <f t="shared" si="93"/>
        <v>0</v>
      </c>
      <c r="O509" s="32">
        <f t="shared" si="94"/>
        <v>0</v>
      </c>
      <c r="AG509" t="s">
        <v>1427</v>
      </c>
      <c r="AH509" t="s">
        <v>583</v>
      </c>
      <c r="AI509">
        <v>1</v>
      </c>
      <c r="AJ509">
        <v>8</v>
      </c>
      <c r="AK509">
        <v>6</v>
      </c>
      <c r="AL509">
        <v>1</v>
      </c>
      <c r="AM509">
        <v>154</v>
      </c>
      <c r="AN509">
        <v>205</v>
      </c>
      <c r="AO509">
        <v>96</v>
      </c>
      <c r="AP509" s="44"/>
      <c r="AQ509" s="27">
        <f t="shared" si="92"/>
        <v>483.4</v>
      </c>
    </row>
    <row r="510" spans="1:43" ht="12.75">
      <c r="A510" s="1" t="s">
        <v>562</v>
      </c>
      <c r="B510" s="7" t="s">
        <v>2032</v>
      </c>
      <c r="C510" t="s">
        <v>1416</v>
      </c>
      <c r="D510" s="19">
        <v>1</v>
      </c>
      <c r="E510" s="7"/>
      <c r="F510" s="19"/>
      <c r="G510" s="4">
        <f>IF(F510&gt;0,F510,IF(PrefetchDBSummary!$C$10="B",AJ510,8))</f>
        <v>8</v>
      </c>
      <c r="H510" s="4">
        <f>PrefetchDBSummary!$C$50</f>
        <v>0</v>
      </c>
      <c r="I510" s="4">
        <f>PrefetchDBSummary!$D$50</f>
        <v>0</v>
      </c>
      <c r="J510" s="5">
        <f t="shared" si="88"/>
        <v>0</v>
      </c>
      <c r="K510" s="4">
        <f t="shared" si="89"/>
        <v>0</v>
      </c>
      <c r="L510" s="4">
        <f t="shared" si="90"/>
        <v>0</v>
      </c>
      <c r="M510" s="5">
        <f t="shared" si="91"/>
        <v>0</v>
      </c>
      <c r="N510" s="17">
        <f t="shared" si="93"/>
        <v>0</v>
      </c>
      <c r="O510" s="32">
        <f t="shared" si="94"/>
        <v>0</v>
      </c>
      <c r="AG510" t="s">
        <v>1428</v>
      </c>
      <c r="AH510" t="s">
        <v>583</v>
      </c>
      <c r="AI510">
        <v>1</v>
      </c>
      <c r="AJ510">
        <v>8</v>
      </c>
      <c r="AK510">
        <v>7</v>
      </c>
      <c r="AL510">
        <v>2</v>
      </c>
      <c r="AM510">
        <v>171</v>
      </c>
      <c r="AN510">
        <v>273</v>
      </c>
      <c r="AO510">
        <v>96</v>
      </c>
      <c r="AP510" s="44"/>
      <c r="AQ510" s="27">
        <f t="shared" si="92"/>
        <v>519.4</v>
      </c>
    </row>
    <row r="511" spans="1:43" ht="12.75">
      <c r="A511" s="1" t="s">
        <v>562</v>
      </c>
      <c r="B511" s="7" t="s">
        <v>2032</v>
      </c>
      <c r="C511" t="s">
        <v>1417</v>
      </c>
      <c r="D511" s="19">
        <v>1</v>
      </c>
      <c r="E511" s="7"/>
      <c r="F511" s="19"/>
      <c r="G511" s="4">
        <f>IF(F511&gt;0,F511,IF(PrefetchDBSummary!$C$10="B",AJ511,8))</f>
        <v>8</v>
      </c>
      <c r="H511" s="4">
        <f>PrefetchDBSummary!$C$50</f>
        <v>0</v>
      </c>
      <c r="I511" s="4">
        <f>PrefetchDBSummary!$D$50</f>
        <v>0</v>
      </c>
      <c r="J511" s="5">
        <f aca="true" t="shared" si="95" ref="J511:J574">IF(H511&gt;0,(AQ511)/(AI511*60),IF(I511&gt;0,(AQ511)/(5*60),0))</f>
        <v>0</v>
      </c>
      <c r="K511" s="4">
        <f aca="true" t="shared" si="96" ref="K511:K574">IF(H511&gt;0,D511/AI511,IF(I511&gt;0,D511/5,0))</f>
        <v>0</v>
      </c>
      <c r="L511" s="4">
        <f aca="true" t="shared" si="97" ref="L511:L574">H511*D511/AI511+I511*D511/5</f>
        <v>0</v>
      </c>
      <c r="M511" s="5">
        <f aca="true" t="shared" si="98" ref="M511:M574">L511*AM511*(1-IF(AP511&gt;0,AP511,$AS$2)*$AS$3)/1024</f>
        <v>0</v>
      </c>
      <c r="N511" s="17">
        <f t="shared" si="93"/>
        <v>0</v>
      </c>
      <c r="O511" s="32">
        <f t="shared" si="94"/>
        <v>0</v>
      </c>
      <c r="AG511" t="s">
        <v>1429</v>
      </c>
      <c r="AH511" t="s">
        <v>583</v>
      </c>
      <c r="AI511">
        <v>1</v>
      </c>
      <c r="AJ511">
        <v>8</v>
      </c>
      <c r="AK511">
        <v>6</v>
      </c>
      <c r="AL511">
        <v>1</v>
      </c>
      <c r="AM511">
        <v>154</v>
      </c>
      <c r="AN511">
        <v>205</v>
      </c>
      <c r="AO511">
        <v>96</v>
      </c>
      <c r="AP511" s="44"/>
      <c r="AQ511" s="27">
        <f t="shared" si="92"/>
        <v>483.4</v>
      </c>
    </row>
    <row r="512" spans="1:43" ht="12.75">
      <c r="A512" s="1" t="s">
        <v>562</v>
      </c>
      <c r="B512" s="7" t="s">
        <v>2032</v>
      </c>
      <c r="C512" t="s">
        <v>166</v>
      </c>
      <c r="D512" s="19">
        <v>1</v>
      </c>
      <c r="E512" s="7" t="s">
        <v>747</v>
      </c>
      <c r="F512" s="19"/>
      <c r="G512" s="4">
        <f>IF(F512&gt;0,F512,IF(PrefetchDBSummary!$C$10="B",AJ512,8))</f>
        <v>8</v>
      </c>
      <c r="H512" s="4">
        <f>PrefetchDBSummary!$C$50</f>
        <v>0</v>
      </c>
      <c r="I512" s="4">
        <f>PrefetchDBSummary!$D$50</f>
        <v>0</v>
      </c>
      <c r="J512" s="5">
        <f t="shared" si="95"/>
        <v>0</v>
      </c>
      <c r="K512" s="4">
        <f t="shared" si="96"/>
        <v>0</v>
      </c>
      <c r="L512" s="4">
        <f t="shared" si="97"/>
        <v>0</v>
      </c>
      <c r="M512" s="5">
        <f t="shared" si="98"/>
        <v>0</v>
      </c>
      <c r="N512" s="17">
        <f t="shared" si="93"/>
        <v>0</v>
      </c>
      <c r="O512" s="32">
        <f t="shared" si="94"/>
        <v>0</v>
      </c>
      <c r="AG512" t="s">
        <v>167</v>
      </c>
      <c r="AH512" t="s">
        <v>583</v>
      </c>
      <c r="AI512">
        <v>1</v>
      </c>
      <c r="AJ512">
        <v>8</v>
      </c>
      <c r="AK512">
        <v>8</v>
      </c>
      <c r="AL512">
        <v>0</v>
      </c>
      <c r="AM512">
        <v>224</v>
      </c>
      <c r="AN512">
        <v>224</v>
      </c>
      <c r="AO512">
        <v>160</v>
      </c>
      <c r="AP512" s="44">
        <v>0.5375</v>
      </c>
      <c r="AQ512" s="27">
        <f aca="true" t="shared" si="99" ref="AQ512:AQ575">250+19*AK512+D512*(23+(AM512-AO512)+AO512*(1-IF(AP512&gt;0,AP512,$AS$2)))</f>
        <v>563</v>
      </c>
    </row>
    <row r="513" spans="1:43" ht="12.75">
      <c r="A513" s="1" t="s">
        <v>562</v>
      </c>
      <c r="B513" s="7" t="s">
        <v>2032</v>
      </c>
      <c r="C513" t="s">
        <v>9</v>
      </c>
      <c r="D513" s="19">
        <v>1</v>
      </c>
      <c r="E513" s="7" t="s">
        <v>747</v>
      </c>
      <c r="F513" s="19"/>
      <c r="G513" s="4">
        <f>IF(F513&gt;0,F513,IF(PrefetchDBSummary!$C$10="B",AJ513,8))</f>
        <v>8</v>
      </c>
      <c r="H513" s="4">
        <f>PrefetchDBSummary!$C$50</f>
        <v>0</v>
      </c>
      <c r="I513" s="4">
        <f>PrefetchDBSummary!$D$50</f>
        <v>0</v>
      </c>
      <c r="J513" s="5">
        <f t="shared" si="95"/>
        <v>0</v>
      </c>
      <c r="K513" s="4">
        <f t="shared" si="96"/>
        <v>0</v>
      </c>
      <c r="L513" s="4">
        <f t="shared" si="97"/>
        <v>0</v>
      </c>
      <c r="M513" s="5">
        <f t="shared" si="98"/>
        <v>0</v>
      </c>
      <c r="N513" s="17">
        <f t="shared" si="93"/>
        <v>0</v>
      </c>
      <c r="O513" s="32">
        <f t="shared" si="94"/>
        <v>0</v>
      </c>
      <c r="AG513" t="s">
        <v>10</v>
      </c>
      <c r="AH513" t="s">
        <v>583</v>
      </c>
      <c r="AI513">
        <v>1</v>
      </c>
      <c r="AJ513">
        <v>8</v>
      </c>
      <c r="AK513">
        <v>5</v>
      </c>
      <c r="AL513">
        <v>1</v>
      </c>
      <c r="AM513">
        <v>197</v>
      </c>
      <c r="AN513">
        <v>248</v>
      </c>
      <c r="AO513">
        <v>160</v>
      </c>
      <c r="AP513" s="44">
        <v>0.55</v>
      </c>
      <c r="AQ513" s="27">
        <f t="shared" si="99"/>
        <v>477</v>
      </c>
    </row>
    <row r="514" spans="1:43" ht="12.75">
      <c r="A514" s="1" t="s">
        <v>562</v>
      </c>
      <c r="B514" s="7" t="s">
        <v>2032</v>
      </c>
      <c r="C514" t="s">
        <v>168</v>
      </c>
      <c r="D514" s="19">
        <v>1</v>
      </c>
      <c r="E514" s="7" t="s">
        <v>747</v>
      </c>
      <c r="F514" s="19"/>
      <c r="G514" s="4">
        <f>IF(F514&gt;0,F514,IF(PrefetchDBSummary!$C$10="B",AJ514,8))</f>
        <v>8</v>
      </c>
      <c r="H514" s="4">
        <f>PrefetchDBSummary!$C$50</f>
        <v>0</v>
      </c>
      <c r="I514" s="4">
        <f>PrefetchDBSummary!$D$50</f>
        <v>0</v>
      </c>
      <c r="J514" s="5">
        <f t="shared" si="95"/>
        <v>0</v>
      </c>
      <c r="K514" s="4">
        <f t="shared" si="96"/>
        <v>0</v>
      </c>
      <c r="L514" s="4">
        <f t="shared" si="97"/>
        <v>0</v>
      </c>
      <c r="M514" s="5">
        <f t="shared" si="98"/>
        <v>0</v>
      </c>
      <c r="N514" s="17">
        <f t="shared" si="93"/>
        <v>0</v>
      </c>
      <c r="O514" s="32">
        <f t="shared" si="94"/>
        <v>0</v>
      </c>
      <c r="AG514" t="s">
        <v>169</v>
      </c>
      <c r="AH514" t="s">
        <v>583</v>
      </c>
      <c r="AI514">
        <v>1</v>
      </c>
      <c r="AJ514">
        <v>8</v>
      </c>
      <c r="AK514">
        <v>6</v>
      </c>
      <c r="AL514">
        <v>1</v>
      </c>
      <c r="AM514">
        <v>154</v>
      </c>
      <c r="AN514">
        <v>205</v>
      </c>
      <c r="AO514">
        <v>96</v>
      </c>
      <c r="AP514" s="44">
        <v>0.44791666666666663</v>
      </c>
      <c r="AQ514" s="27">
        <f t="shared" si="99"/>
        <v>498</v>
      </c>
    </row>
    <row r="515" spans="1:43" ht="12.75">
      <c r="A515" s="1" t="s">
        <v>562</v>
      </c>
      <c r="B515" s="7" t="s">
        <v>2032</v>
      </c>
      <c r="C515" t="s">
        <v>1418</v>
      </c>
      <c r="D515" s="19">
        <v>12</v>
      </c>
      <c r="E515" s="7"/>
      <c r="F515" s="19"/>
      <c r="G515" s="4">
        <f>IF(F515&gt;0,F515,IF(PrefetchDBSummary!$C$10="B",AJ515,8))</f>
        <v>8</v>
      </c>
      <c r="H515" s="4">
        <f>PrefetchDBSummary!$C$50</f>
        <v>0</v>
      </c>
      <c r="I515" s="4">
        <f>PrefetchDBSummary!$D$50</f>
        <v>0</v>
      </c>
      <c r="J515" s="5">
        <f t="shared" si="95"/>
        <v>0</v>
      </c>
      <c r="K515" s="4">
        <f t="shared" si="96"/>
        <v>0</v>
      </c>
      <c r="L515" s="4">
        <f t="shared" si="97"/>
        <v>0</v>
      </c>
      <c r="M515" s="5">
        <f t="shared" si="98"/>
        <v>0</v>
      </c>
      <c r="N515" s="17">
        <f t="shared" si="93"/>
        <v>0</v>
      </c>
      <c r="O515" s="32">
        <f t="shared" si="94"/>
        <v>0</v>
      </c>
      <c r="AG515" t="s">
        <v>1430</v>
      </c>
      <c r="AH515" t="s">
        <v>583</v>
      </c>
      <c r="AI515">
        <v>1</v>
      </c>
      <c r="AJ515">
        <v>8</v>
      </c>
      <c r="AK515">
        <v>8</v>
      </c>
      <c r="AL515">
        <v>1</v>
      </c>
      <c r="AM515">
        <v>216</v>
      </c>
      <c r="AN515">
        <v>259</v>
      </c>
      <c r="AO515">
        <v>160</v>
      </c>
      <c r="AP515" s="44"/>
      <c r="AQ515" s="27">
        <f t="shared" si="99"/>
        <v>2118</v>
      </c>
    </row>
    <row r="516" spans="1:43" ht="12.75">
      <c r="A516" s="1" t="s">
        <v>562</v>
      </c>
      <c r="B516" s="7" t="s">
        <v>2032</v>
      </c>
      <c r="C516" t="s">
        <v>1419</v>
      </c>
      <c r="D516" s="19">
        <v>117</v>
      </c>
      <c r="E516" s="7"/>
      <c r="F516" s="19"/>
      <c r="G516" s="4">
        <f>IF(F516&gt;0,F516,IF(PrefetchDBSummary!$C$10="B",AJ516,8))</f>
        <v>8</v>
      </c>
      <c r="H516" s="4">
        <f>PrefetchDBSummary!$C$50</f>
        <v>0</v>
      </c>
      <c r="I516" s="4">
        <f>PrefetchDBSummary!$D$50</f>
        <v>0</v>
      </c>
      <c r="J516" s="5">
        <f t="shared" si="95"/>
        <v>0</v>
      </c>
      <c r="K516" s="4">
        <f t="shared" si="96"/>
        <v>0</v>
      </c>
      <c r="L516" s="4">
        <f t="shared" si="97"/>
        <v>0</v>
      </c>
      <c r="M516" s="5">
        <f t="shared" si="98"/>
        <v>0</v>
      </c>
      <c r="N516" s="17">
        <f t="shared" si="93"/>
        <v>0</v>
      </c>
      <c r="O516" s="32">
        <f t="shared" si="94"/>
        <v>0</v>
      </c>
      <c r="AG516" t="s">
        <v>1431</v>
      </c>
      <c r="AH516" t="s">
        <v>583</v>
      </c>
      <c r="AI516">
        <v>1</v>
      </c>
      <c r="AJ516">
        <v>8</v>
      </c>
      <c r="AK516">
        <v>13</v>
      </c>
      <c r="AL516">
        <v>2</v>
      </c>
      <c r="AM516">
        <v>565</v>
      </c>
      <c r="AN516">
        <v>651</v>
      </c>
      <c r="AO516">
        <v>480</v>
      </c>
      <c r="AP516" s="44"/>
      <c r="AQ516" s="27">
        <f t="shared" si="99"/>
        <v>35597</v>
      </c>
    </row>
    <row r="517" spans="1:43" ht="12.75">
      <c r="A517" s="1" t="s">
        <v>562</v>
      </c>
      <c r="B517" s="7" t="s">
        <v>2032</v>
      </c>
      <c r="C517" t="s">
        <v>1420</v>
      </c>
      <c r="D517" s="19">
        <v>1</v>
      </c>
      <c r="E517" s="7" t="s">
        <v>710</v>
      </c>
      <c r="F517" s="19"/>
      <c r="G517" s="4">
        <f>IF(F517&gt;0,F517,IF(PrefetchDBSummary!$C$10="B",AJ517,8))</f>
        <v>8</v>
      </c>
      <c r="H517" s="4">
        <f>PrefetchDBSummary!$C$50</f>
        <v>0</v>
      </c>
      <c r="I517" s="4">
        <f>PrefetchDBSummary!$D$50</f>
        <v>0</v>
      </c>
      <c r="J517" s="5">
        <f t="shared" si="95"/>
        <v>0</v>
      </c>
      <c r="K517" s="4">
        <f t="shared" si="96"/>
        <v>0</v>
      </c>
      <c r="L517" s="4">
        <f t="shared" si="97"/>
        <v>0</v>
      </c>
      <c r="M517" s="5">
        <f t="shared" si="98"/>
        <v>0</v>
      </c>
      <c r="N517" s="17">
        <f t="shared" si="93"/>
        <v>0</v>
      </c>
      <c r="O517" s="32">
        <f t="shared" si="94"/>
        <v>0</v>
      </c>
      <c r="AG517" t="s">
        <v>1432</v>
      </c>
      <c r="AH517" t="s">
        <v>583</v>
      </c>
      <c r="AI517">
        <v>1</v>
      </c>
      <c r="AJ517">
        <v>8</v>
      </c>
      <c r="AK517">
        <v>8</v>
      </c>
      <c r="AL517">
        <v>3</v>
      </c>
      <c r="AM517">
        <v>172</v>
      </c>
      <c r="AN517">
        <v>285</v>
      </c>
      <c r="AO517">
        <v>96</v>
      </c>
      <c r="AP517" s="44"/>
      <c r="AQ517" s="27">
        <f t="shared" si="99"/>
        <v>539.4</v>
      </c>
    </row>
    <row r="518" spans="1:43" ht="12.75">
      <c r="A518" s="1" t="s">
        <v>562</v>
      </c>
      <c r="B518" s="7" t="s">
        <v>2032</v>
      </c>
      <c r="C518" t="s">
        <v>365</v>
      </c>
      <c r="D518" s="19">
        <v>27</v>
      </c>
      <c r="E518" s="7" t="s">
        <v>808</v>
      </c>
      <c r="F518" s="19"/>
      <c r="G518" s="4">
        <f>IF(F518&gt;0,F518,IF(PrefetchDBSummary!$C$10="B",AJ518,8))</f>
        <v>8</v>
      </c>
      <c r="H518" s="4">
        <f>PrefetchDBSummary!$C$50</f>
        <v>0</v>
      </c>
      <c r="I518" s="4">
        <f>PrefetchDBSummary!$D$50</f>
        <v>0</v>
      </c>
      <c r="J518" s="5">
        <f t="shared" si="95"/>
        <v>0</v>
      </c>
      <c r="K518" s="4">
        <f t="shared" si="96"/>
        <v>0</v>
      </c>
      <c r="L518" s="4">
        <f t="shared" si="97"/>
        <v>0</v>
      </c>
      <c r="M518" s="5">
        <f t="shared" si="98"/>
        <v>0</v>
      </c>
      <c r="N518" s="17">
        <f t="shared" si="93"/>
        <v>0</v>
      </c>
      <c r="O518" s="32">
        <f t="shared" si="94"/>
        <v>0</v>
      </c>
      <c r="AG518" t="s">
        <v>366</v>
      </c>
      <c r="AH518" t="s">
        <v>583</v>
      </c>
      <c r="AI518">
        <v>1</v>
      </c>
      <c r="AJ518">
        <v>8</v>
      </c>
      <c r="AK518">
        <v>8</v>
      </c>
      <c r="AL518">
        <v>1</v>
      </c>
      <c r="AM518">
        <v>228</v>
      </c>
      <c r="AN518">
        <v>279</v>
      </c>
      <c r="AO518">
        <v>168</v>
      </c>
      <c r="AP518" s="44">
        <v>0.5615079365079365</v>
      </c>
      <c r="AQ518" s="27">
        <f t="shared" si="99"/>
        <v>4632.000000000001</v>
      </c>
    </row>
    <row r="519" spans="1:43" ht="12.75">
      <c r="A519" s="1" t="s">
        <v>562</v>
      </c>
      <c r="B519" s="7" t="s">
        <v>2032</v>
      </c>
      <c r="C519" t="s">
        <v>367</v>
      </c>
      <c r="D519" s="19">
        <v>1</v>
      </c>
      <c r="E519" s="7" t="s">
        <v>710</v>
      </c>
      <c r="F519" s="19"/>
      <c r="G519" s="4">
        <f>IF(F519&gt;0,F519,IF(PrefetchDBSummary!$C$10="B",AJ519,8))</f>
        <v>8</v>
      </c>
      <c r="H519" s="4">
        <f>PrefetchDBSummary!$C$50</f>
        <v>0</v>
      </c>
      <c r="I519" s="4">
        <f>PrefetchDBSummary!$D$50</f>
        <v>0</v>
      </c>
      <c r="J519" s="5">
        <f t="shared" si="95"/>
        <v>0</v>
      </c>
      <c r="K519" s="4">
        <f t="shared" si="96"/>
        <v>0</v>
      </c>
      <c r="L519" s="4">
        <f t="shared" si="97"/>
        <v>0</v>
      </c>
      <c r="M519" s="5">
        <f t="shared" si="98"/>
        <v>0</v>
      </c>
      <c r="N519" s="17">
        <f t="shared" si="93"/>
        <v>0</v>
      </c>
      <c r="O519" s="32">
        <f t="shared" si="94"/>
        <v>0</v>
      </c>
      <c r="AG519" t="s">
        <v>368</v>
      </c>
      <c r="AH519" t="s">
        <v>583</v>
      </c>
      <c r="AI519">
        <v>1</v>
      </c>
      <c r="AJ519">
        <v>8</v>
      </c>
      <c r="AK519">
        <v>7</v>
      </c>
      <c r="AL519">
        <v>2</v>
      </c>
      <c r="AM519">
        <v>171</v>
      </c>
      <c r="AN519">
        <v>273</v>
      </c>
      <c r="AO519">
        <v>96</v>
      </c>
      <c r="AP519" s="44">
        <v>0.53125</v>
      </c>
      <c r="AQ519" s="27">
        <f t="shared" si="99"/>
        <v>526</v>
      </c>
    </row>
    <row r="520" spans="1:43" ht="12.75">
      <c r="A520" s="1" t="s">
        <v>562</v>
      </c>
      <c r="B520" s="7" t="s">
        <v>2032</v>
      </c>
      <c r="C520" t="s">
        <v>394</v>
      </c>
      <c r="D520" s="19">
        <v>5</v>
      </c>
      <c r="E520" s="7"/>
      <c r="F520" s="19"/>
      <c r="G520" s="4">
        <f>IF(F520&gt;0,F520,IF(PrefetchDBSummary!$C$10="B",AJ520,8))</f>
        <v>8</v>
      </c>
      <c r="H520" s="4">
        <f>PrefetchDBSummary!$C$50</f>
        <v>0</v>
      </c>
      <c r="I520" s="4">
        <f>PrefetchDBSummary!$D$50</f>
        <v>0</v>
      </c>
      <c r="J520" s="5">
        <f t="shared" si="95"/>
        <v>0</v>
      </c>
      <c r="K520" s="4">
        <f t="shared" si="96"/>
        <v>0</v>
      </c>
      <c r="L520" s="4">
        <f t="shared" si="97"/>
        <v>0</v>
      </c>
      <c r="M520" s="5">
        <f t="shared" si="98"/>
        <v>0</v>
      </c>
      <c r="N520" s="17">
        <f t="shared" si="93"/>
        <v>0</v>
      </c>
      <c r="O520" s="32">
        <f t="shared" si="94"/>
        <v>0</v>
      </c>
      <c r="AG520" t="s">
        <v>395</v>
      </c>
      <c r="AH520" t="s">
        <v>583</v>
      </c>
      <c r="AI520">
        <v>1</v>
      </c>
      <c r="AJ520">
        <v>8</v>
      </c>
      <c r="AK520">
        <v>10</v>
      </c>
      <c r="AL520">
        <v>2</v>
      </c>
      <c r="AM520">
        <v>434</v>
      </c>
      <c r="AN520">
        <v>536</v>
      </c>
      <c r="AO520">
        <v>364</v>
      </c>
      <c r="AP520" s="44">
        <v>0.7593406593406593</v>
      </c>
      <c r="AQ520" s="27">
        <f t="shared" si="99"/>
        <v>1343</v>
      </c>
    </row>
    <row r="521" spans="1:43" ht="12.75">
      <c r="A521" s="1" t="s">
        <v>562</v>
      </c>
      <c r="B521" s="7" t="s">
        <v>2032</v>
      </c>
      <c r="C521" t="s">
        <v>13</v>
      </c>
      <c r="D521" s="4">
        <f>PrefetchDBSummary!$E$50</f>
        <v>500</v>
      </c>
      <c r="E521" s="7" t="s">
        <v>783</v>
      </c>
      <c r="F521" s="19"/>
      <c r="G521" s="4">
        <f>IF(F521&gt;0,F521,IF(PrefetchDBSummary!$C$10="B",AJ521,8))</f>
        <v>8</v>
      </c>
      <c r="H521" s="4">
        <f>PrefetchDBSummary!$C$50</f>
        <v>0</v>
      </c>
      <c r="I521" s="4">
        <f>PrefetchDBSummary!$D$50</f>
        <v>0</v>
      </c>
      <c r="J521" s="5">
        <f t="shared" si="95"/>
        <v>0</v>
      </c>
      <c r="K521" s="4">
        <f t="shared" si="96"/>
        <v>0</v>
      </c>
      <c r="L521" s="4">
        <f t="shared" si="97"/>
        <v>0</v>
      </c>
      <c r="M521" s="5">
        <f t="shared" si="98"/>
        <v>0</v>
      </c>
      <c r="N521" s="17">
        <f t="shared" si="93"/>
        <v>0</v>
      </c>
      <c r="O521" s="32">
        <f t="shared" si="94"/>
        <v>0</v>
      </c>
      <c r="AG521" t="s">
        <v>14</v>
      </c>
      <c r="AH521" t="s">
        <v>583</v>
      </c>
      <c r="AI521">
        <v>1</v>
      </c>
      <c r="AJ521">
        <v>8</v>
      </c>
      <c r="AK521">
        <v>51</v>
      </c>
      <c r="AL521">
        <v>19</v>
      </c>
      <c r="AM521">
        <v>783</v>
      </c>
      <c r="AN521">
        <v>1640</v>
      </c>
      <c r="AO521">
        <v>376</v>
      </c>
      <c r="AP521" s="44">
        <v>0.7516702127659574</v>
      </c>
      <c r="AQ521" s="27">
        <f t="shared" si="99"/>
        <v>262905</v>
      </c>
    </row>
    <row r="522" spans="1:43" ht="12.75">
      <c r="A522" s="1" t="s">
        <v>562</v>
      </c>
      <c r="B522" s="7" t="s">
        <v>2032</v>
      </c>
      <c r="C522" t="s">
        <v>1421</v>
      </c>
      <c r="D522" s="19">
        <v>6</v>
      </c>
      <c r="E522" s="7"/>
      <c r="F522" s="19"/>
      <c r="G522" s="4">
        <f>IF(F522&gt;0,F522,IF(PrefetchDBSummary!$C$10="B",AJ522,8))</f>
        <v>8</v>
      </c>
      <c r="H522" s="4">
        <f>PrefetchDBSummary!$C$50</f>
        <v>0</v>
      </c>
      <c r="I522" s="4">
        <f>PrefetchDBSummary!$D$50</f>
        <v>0</v>
      </c>
      <c r="J522" s="5">
        <f t="shared" si="95"/>
        <v>0</v>
      </c>
      <c r="K522" s="4">
        <f t="shared" si="96"/>
        <v>0</v>
      </c>
      <c r="L522" s="4">
        <f t="shared" si="97"/>
        <v>0</v>
      </c>
      <c r="M522" s="5">
        <f t="shared" si="98"/>
        <v>0</v>
      </c>
      <c r="N522" s="17">
        <f t="shared" si="93"/>
        <v>0</v>
      </c>
      <c r="O522" s="32">
        <f t="shared" si="94"/>
        <v>0</v>
      </c>
      <c r="AG522" t="s">
        <v>1433</v>
      </c>
      <c r="AH522" t="s">
        <v>583</v>
      </c>
      <c r="AI522">
        <v>1</v>
      </c>
      <c r="AJ522">
        <v>8</v>
      </c>
      <c r="AK522">
        <v>7</v>
      </c>
      <c r="AL522">
        <v>0</v>
      </c>
      <c r="AM522">
        <v>187</v>
      </c>
      <c r="AN522">
        <v>187</v>
      </c>
      <c r="AO522">
        <v>128</v>
      </c>
      <c r="AP522" s="44"/>
      <c r="AQ522" s="27">
        <f t="shared" si="99"/>
        <v>1182.1999999999998</v>
      </c>
    </row>
    <row r="523" spans="1:43" ht="12.75">
      <c r="A523" s="1" t="s">
        <v>562</v>
      </c>
      <c r="B523" s="7" t="s">
        <v>2032</v>
      </c>
      <c r="C523" t="s">
        <v>313</v>
      </c>
      <c r="D523" s="19">
        <v>33</v>
      </c>
      <c r="E523" s="7" t="s">
        <v>809</v>
      </c>
      <c r="F523" s="19"/>
      <c r="G523" s="4">
        <f>IF(F523&gt;0,F523,IF(PrefetchDBSummary!$C$10="B",AJ523,8))</f>
        <v>8</v>
      </c>
      <c r="H523" s="4">
        <f>PrefetchDBSummary!$C$50</f>
        <v>0</v>
      </c>
      <c r="I523" s="4">
        <f>PrefetchDBSummary!$D$50</f>
        <v>0</v>
      </c>
      <c r="J523" s="5">
        <f t="shared" si="95"/>
        <v>0</v>
      </c>
      <c r="K523" s="4">
        <f t="shared" si="96"/>
        <v>0</v>
      </c>
      <c r="L523" s="4">
        <f t="shared" si="97"/>
        <v>0</v>
      </c>
      <c r="M523" s="5">
        <f t="shared" si="98"/>
        <v>0</v>
      </c>
      <c r="N523" s="17">
        <f t="shared" si="93"/>
        <v>0</v>
      </c>
      <c r="O523" s="32">
        <f t="shared" si="94"/>
        <v>0</v>
      </c>
      <c r="AG523" t="s">
        <v>314</v>
      </c>
      <c r="AH523" t="s">
        <v>583</v>
      </c>
      <c r="AI523">
        <v>1</v>
      </c>
      <c r="AJ523">
        <v>8</v>
      </c>
      <c r="AK523">
        <v>8</v>
      </c>
      <c r="AL523">
        <v>3</v>
      </c>
      <c r="AM523">
        <v>212</v>
      </c>
      <c r="AN523">
        <v>365</v>
      </c>
      <c r="AO523">
        <v>128</v>
      </c>
      <c r="AP523" s="44">
        <v>0.649739583333333</v>
      </c>
      <c r="AQ523" s="27">
        <f t="shared" si="99"/>
        <v>5412.500000000001</v>
      </c>
    </row>
    <row r="524" spans="1:43" ht="12.75">
      <c r="A524" s="1" t="s">
        <v>562</v>
      </c>
      <c r="B524" s="7" t="s">
        <v>2032</v>
      </c>
      <c r="C524" t="s">
        <v>1422</v>
      </c>
      <c r="D524" s="19">
        <v>1</v>
      </c>
      <c r="E524" s="7"/>
      <c r="F524" s="19"/>
      <c r="G524" s="4">
        <f>IF(F524&gt;0,F524,IF(PrefetchDBSummary!$C$10="B",AJ524,8))</f>
        <v>8</v>
      </c>
      <c r="H524" s="4">
        <f>PrefetchDBSummary!$C$50</f>
        <v>0</v>
      </c>
      <c r="I524" s="4">
        <f>PrefetchDBSummary!$D$50</f>
        <v>0</v>
      </c>
      <c r="J524" s="5">
        <f t="shared" si="95"/>
        <v>0</v>
      </c>
      <c r="K524" s="4">
        <f t="shared" si="96"/>
        <v>0</v>
      </c>
      <c r="L524" s="4">
        <f t="shared" si="97"/>
        <v>0</v>
      </c>
      <c r="M524" s="5">
        <f t="shared" si="98"/>
        <v>0</v>
      </c>
      <c r="N524" s="17">
        <f t="shared" si="93"/>
        <v>0</v>
      </c>
      <c r="O524" s="32">
        <f t="shared" si="94"/>
        <v>0</v>
      </c>
      <c r="AG524" t="s">
        <v>1434</v>
      </c>
      <c r="AH524" t="s">
        <v>583</v>
      </c>
      <c r="AI524">
        <v>1</v>
      </c>
      <c r="AJ524">
        <v>8</v>
      </c>
      <c r="AK524">
        <v>6</v>
      </c>
      <c r="AL524">
        <v>1</v>
      </c>
      <c r="AM524">
        <v>178</v>
      </c>
      <c r="AN524">
        <v>229</v>
      </c>
      <c r="AO524">
        <v>128</v>
      </c>
      <c r="AP524" s="44"/>
      <c r="AQ524" s="27">
        <f t="shared" si="99"/>
        <v>488.2</v>
      </c>
    </row>
    <row r="525" spans="1:43" ht="12.75">
      <c r="A525" s="1" t="s">
        <v>562</v>
      </c>
      <c r="B525" s="7" t="s">
        <v>2032</v>
      </c>
      <c r="C525" t="s">
        <v>1423</v>
      </c>
      <c r="D525" s="19"/>
      <c r="E525" s="7"/>
      <c r="F525" s="19"/>
      <c r="G525" s="4">
        <f>IF(F525&gt;0,F525,IF(PrefetchDBSummary!$C$10="B",AJ525,8))</f>
        <v>8</v>
      </c>
      <c r="H525" s="4">
        <f>PrefetchDBSummary!$C$50</f>
        <v>0</v>
      </c>
      <c r="I525" s="4">
        <f>PrefetchDBSummary!$D$50</f>
        <v>0</v>
      </c>
      <c r="J525" s="5">
        <f t="shared" si="95"/>
        <v>0</v>
      </c>
      <c r="K525" s="4">
        <f t="shared" si="96"/>
        <v>0</v>
      </c>
      <c r="L525" s="4">
        <f t="shared" si="97"/>
        <v>0</v>
      </c>
      <c r="M525" s="5">
        <f t="shared" si="98"/>
        <v>0</v>
      </c>
      <c r="N525" s="17">
        <f t="shared" si="93"/>
        <v>0</v>
      </c>
      <c r="O525" s="32">
        <f t="shared" si="94"/>
        <v>0</v>
      </c>
      <c r="AG525" t="s">
        <v>1435</v>
      </c>
      <c r="AH525" t="s">
        <v>583</v>
      </c>
      <c r="AI525">
        <v>1</v>
      </c>
      <c r="AJ525">
        <v>8</v>
      </c>
      <c r="AK525">
        <v>12</v>
      </c>
      <c r="AL525">
        <v>5</v>
      </c>
      <c r="AM525">
        <v>208</v>
      </c>
      <c r="AN525">
        <v>359</v>
      </c>
      <c r="AO525">
        <v>96</v>
      </c>
      <c r="AP525" s="44"/>
      <c r="AQ525" s="27">
        <f t="shared" si="99"/>
        <v>478</v>
      </c>
    </row>
    <row r="526" spans="1:43" ht="12.75">
      <c r="A526" s="1" t="s">
        <v>562</v>
      </c>
      <c r="B526" s="7" t="s">
        <v>2032</v>
      </c>
      <c r="C526" t="s">
        <v>1424</v>
      </c>
      <c r="D526" s="19">
        <v>38</v>
      </c>
      <c r="E526" s="7"/>
      <c r="F526" s="19"/>
      <c r="G526" s="4">
        <f>IF(F526&gt;0,F526,IF(PrefetchDBSummary!$C$10="B",AJ526,8))</f>
        <v>8</v>
      </c>
      <c r="H526" s="4">
        <f>PrefetchDBSummary!$C$50</f>
        <v>0</v>
      </c>
      <c r="I526" s="4">
        <f>PrefetchDBSummary!$D$50</f>
        <v>0</v>
      </c>
      <c r="J526" s="5">
        <f t="shared" si="95"/>
        <v>0</v>
      </c>
      <c r="K526" s="4">
        <f t="shared" si="96"/>
        <v>0</v>
      </c>
      <c r="L526" s="4">
        <f t="shared" si="97"/>
        <v>0</v>
      </c>
      <c r="M526" s="5">
        <f t="shared" si="98"/>
        <v>0</v>
      </c>
      <c r="N526" s="17">
        <f t="shared" si="93"/>
        <v>0</v>
      </c>
      <c r="O526" s="32">
        <f t="shared" si="94"/>
        <v>0</v>
      </c>
      <c r="AG526" t="s">
        <v>1436</v>
      </c>
      <c r="AH526" t="s">
        <v>583</v>
      </c>
      <c r="AI526">
        <v>1</v>
      </c>
      <c r="AJ526">
        <v>8</v>
      </c>
      <c r="AK526">
        <v>12</v>
      </c>
      <c r="AL526">
        <v>2</v>
      </c>
      <c r="AM526">
        <v>764</v>
      </c>
      <c r="AN526">
        <v>866</v>
      </c>
      <c r="AO526">
        <v>644</v>
      </c>
      <c r="AP526" s="44"/>
      <c r="AQ526" s="27">
        <f t="shared" si="99"/>
        <v>15700.800000000001</v>
      </c>
    </row>
    <row r="527" spans="1:43" ht="12.75">
      <c r="A527" s="1" t="s">
        <v>562</v>
      </c>
      <c r="B527" s="7" t="s">
        <v>2032</v>
      </c>
      <c r="C527" t="s">
        <v>497</v>
      </c>
      <c r="D527" s="19">
        <v>1</v>
      </c>
      <c r="E527" s="7" t="s">
        <v>747</v>
      </c>
      <c r="F527" s="19"/>
      <c r="G527" s="4">
        <f>IF(F527&gt;0,F527,IF(PrefetchDBSummary!$C$10="B",AJ527,8))</f>
        <v>8</v>
      </c>
      <c r="H527" s="4">
        <f>PrefetchDBSummary!$C$50</f>
        <v>0</v>
      </c>
      <c r="I527" s="4">
        <f>PrefetchDBSummary!$D$50</f>
        <v>0</v>
      </c>
      <c r="J527" s="5">
        <f t="shared" si="95"/>
        <v>0</v>
      </c>
      <c r="K527" s="4">
        <f t="shared" si="96"/>
        <v>0</v>
      </c>
      <c r="L527" s="4">
        <f t="shared" si="97"/>
        <v>0</v>
      </c>
      <c r="M527" s="5">
        <f t="shared" si="98"/>
        <v>0</v>
      </c>
      <c r="N527" s="17">
        <f t="shared" si="93"/>
        <v>0</v>
      </c>
      <c r="O527" s="32">
        <f t="shared" si="94"/>
        <v>0</v>
      </c>
      <c r="AG527" t="s">
        <v>498</v>
      </c>
      <c r="AH527" t="s">
        <v>583</v>
      </c>
      <c r="AI527">
        <v>10</v>
      </c>
      <c r="AJ527">
        <v>8</v>
      </c>
      <c r="AK527">
        <v>4</v>
      </c>
      <c r="AL527">
        <v>0</v>
      </c>
      <c r="AM527">
        <v>232</v>
      </c>
      <c r="AN527">
        <v>232</v>
      </c>
      <c r="AO527">
        <v>224</v>
      </c>
      <c r="AP527" s="44">
        <v>0.6473214285714286</v>
      </c>
      <c r="AQ527" s="27">
        <f t="shared" si="99"/>
        <v>436</v>
      </c>
    </row>
    <row r="528" spans="1:43" ht="12.75">
      <c r="A528" s="59" t="s">
        <v>1120</v>
      </c>
      <c r="B528" s="7" t="s">
        <v>1265</v>
      </c>
      <c r="C528" t="s">
        <v>1121</v>
      </c>
      <c r="D528" s="19">
        <v>45</v>
      </c>
      <c r="E528" s="7" t="s">
        <v>1982</v>
      </c>
      <c r="F528" s="19"/>
      <c r="G528" s="4">
        <f>IF(F528&gt;0,F528,IF(PrefetchDBSummary!$C$10="B",AJ528,8))</f>
        <v>8</v>
      </c>
      <c r="H528" s="4">
        <f>PrefetchDBSummary!$C$57</f>
        <v>0</v>
      </c>
      <c r="I528" s="4">
        <f>PrefetchDBSummary!$D$57</f>
        <v>0</v>
      </c>
      <c r="J528" s="5">
        <f t="shared" si="95"/>
        <v>0</v>
      </c>
      <c r="K528" s="4">
        <f t="shared" si="96"/>
        <v>0</v>
      </c>
      <c r="L528" s="4">
        <f t="shared" si="97"/>
        <v>0</v>
      </c>
      <c r="M528" s="5">
        <f t="shared" si="98"/>
        <v>0</v>
      </c>
      <c r="N528" s="17">
        <f t="shared" si="93"/>
        <v>0</v>
      </c>
      <c r="O528" s="32">
        <f t="shared" si="94"/>
        <v>0</v>
      </c>
      <c r="AG528" t="s">
        <v>1144</v>
      </c>
      <c r="AH528" t="s">
        <v>583</v>
      </c>
      <c r="AI528">
        <v>1</v>
      </c>
      <c r="AJ528">
        <v>14</v>
      </c>
      <c r="AK528">
        <v>3</v>
      </c>
      <c r="AL528">
        <v>0</v>
      </c>
      <c r="AM528">
        <v>163</v>
      </c>
      <c r="AN528">
        <v>163</v>
      </c>
      <c r="AO528">
        <v>160</v>
      </c>
      <c r="AP528" s="44"/>
      <c r="AQ528" s="27">
        <f t="shared" si="99"/>
        <v>4357</v>
      </c>
    </row>
    <row r="529" spans="1:43" ht="12.75">
      <c r="A529" s="59" t="s">
        <v>1120</v>
      </c>
      <c r="B529" s="7" t="s">
        <v>1265</v>
      </c>
      <c r="C529" t="s">
        <v>1122</v>
      </c>
      <c r="D529" s="19"/>
      <c r="E529" s="7" t="s">
        <v>1983</v>
      </c>
      <c r="F529" s="19"/>
      <c r="G529" s="4">
        <f>IF(F529&gt;0,F529,IF(PrefetchDBSummary!$C$10="B",AJ529,8))</f>
        <v>8</v>
      </c>
      <c r="H529" s="4">
        <f>PrefetchDBSummary!$C$57</f>
        <v>0</v>
      </c>
      <c r="I529" s="4">
        <f>PrefetchDBSummary!$D$57</f>
        <v>0</v>
      </c>
      <c r="J529" s="5">
        <f t="shared" si="95"/>
        <v>0</v>
      </c>
      <c r="K529" s="4">
        <f t="shared" si="96"/>
        <v>0</v>
      </c>
      <c r="L529" s="4">
        <f t="shared" si="97"/>
        <v>0</v>
      </c>
      <c r="M529" s="5">
        <f t="shared" si="98"/>
        <v>0</v>
      </c>
      <c r="N529" s="17">
        <f t="shared" si="93"/>
        <v>0</v>
      </c>
      <c r="O529" s="32">
        <f t="shared" si="94"/>
        <v>0</v>
      </c>
      <c r="AG529" t="s">
        <v>1145</v>
      </c>
      <c r="AH529" t="s">
        <v>583</v>
      </c>
      <c r="AI529">
        <v>5</v>
      </c>
      <c r="AJ529">
        <v>14</v>
      </c>
      <c r="AK529">
        <v>3</v>
      </c>
      <c r="AL529">
        <v>0</v>
      </c>
      <c r="AM529">
        <v>163</v>
      </c>
      <c r="AN529">
        <v>163</v>
      </c>
      <c r="AO529">
        <v>160</v>
      </c>
      <c r="AP529" s="44"/>
      <c r="AQ529" s="27">
        <f t="shared" si="99"/>
        <v>307</v>
      </c>
    </row>
    <row r="530" spans="1:43" ht="12.75">
      <c r="A530" s="59" t="s">
        <v>1120</v>
      </c>
      <c r="B530" s="7" t="s">
        <v>1265</v>
      </c>
      <c r="C530" t="s">
        <v>1123</v>
      </c>
      <c r="D530" s="19"/>
      <c r="E530" s="7" t="s">
        <v>1983</v>
      </c>
      <c r="F530" s="19"/>
      <c r="G530" s="4">
        <f>IF(F530&gt;0,F530,IF(PrefetchDBSummary!$C$10="B",AJ530,8))</f>
        <v>8</v>
      </c>
      <c r="H530" s="4">
        <f>PrefetchDBSummary!$C$57</f>
        <v>0</v>
      </c>
      <c r="I530" s="4">
        <f>PrefetchDBSummary!$D$57</f>
        <v>0</v>
      </c>
      <c r="J530" s="5">
        <f t="shared" si="95"/>
        <v>0</v>
      </c>
      <c r="K530" s="4">
        <f t="shared" si="96"/>
        <v>0</v>
      </c>
      <c r="L530" s="4">
        <f t="shared" si="97"/>
        <v>0</v>
      </c>
      <c r="M530" s="5">
        <f t="shared" si="98"/>
        <v>0</v>
      </c>
      <c r="N530" s="17">
        <f t="shared" si="93"/>
        <v>0</v>
      </c>
      <c r="O530" s="32">
        <f t="shared" si="94"/>
        <v>0</v>
      </c>
      <c r="AG530" t="s">
        <v>1146</v>
      </c>
      <c r="AH530" t="s">
        <v>583</v>
      </c>
      <c r="AI530">
        <v>5</v>
      </c>
      <c r="AJ530">
        <v>14</v>
      </c>
      <c r="AK530">
        <v>6</v>
      </c>
      <c r="AL530">
        <v>0</v>
      </c>
      <c r="AM530">
        <v>358</v>
      </c>
      <c r="AN530">
        <v>358</v>
      </c>
      <c r="AO530">
        <v>352</v>
      </c>
      <c r="AP530" s="44"/>
      <c r="AQ530" s="27">
        <f t="shared" si="99"/>
        <v>364</v>
      </c>
    </row>
    <row r="531" spans="1:43" ht="12.75">
      <c r="A531" s="59" t="s">
        <v>1120</v>
      </c>
      <c r="B531" s="7" t="s">
        <v>1265</v>
      </c>
      <c r="C531" t="s">
        <v>1124</v>
      </c>
      <c r="D531" s="19">
        <v>6</v>
      </c>
      <c r="E531" s="7" t="s">
        <v>1984</v>
      </c>
      <c r="F531" s="19"/>
      <c r="G531" s="4">
        <f>IF(F531&gt;0,F531,IF(PrefetchDBSummary!$C$10="B",AJ531,8))</f>
        <v>8</v>
      </c>
      <c r="H531" s="4">
        <f>PrefetchDBSummary!$C$57</f>
        <v>0</v>
      </c>
      <c r="I531" s="4">
        <f>PrefetchDBSummary!$D$57</f>
        <v>0</v>
      </c>
      <c r="J531" s="5">
        <f t="shared" si="95"/>
        <v>0</v>
      </c>
      <c r="K531" s="4">
        <f t="shared" si="96"/>
        <v>0</v>
      </c>
      <c r="L531" s="4">
        <f t="shared" si="97"/>
        <v>0</v>
      </c>
      <c r="M531" s="5">
        <f t="shared" si="98"/>
        <v>0</v>
      </c>
      <c r="N531" s="17">
        <f t="shared" si="93"/>
        <v>0</v>
      </c>
      <c r="O531" s="32">
        <f t="shared" si="94"/>
        <v>0</v>
      </c>
      <c r="AG531" t="s">
        <v>1147</v>
      </c>
      <c r="AH531" t="s">
        <v>583</v>
      </c>
      <c r="AI531">
        <v>8</v>
      </c>
      <c r="AJ531">
        <v>8</v>
      </c>
      <c r="AK531">
        <v>6</v>
      </c>
      <c r="AL531">
        <v>3</v>
      </c>
      <c r="AM531">
        <v>214</v>
      </c>
      <c r="AN531">
        <v>367</v>
      </c>
      <c r="AO531">
        <v>160</v>
      </c>
      <c r="AP531" s="44"/>
      <c r="AQ531" s="27">
        <f t="shared" si="99"/>
        <v>1210</v>
      </c>
    </row>
    <row r="532" spans="1:43" ht="12.75">
      <c r="A532" s="59" t="s">
        <v>1120</v>
      </c>
      <c r="B532" s="7" t="s">
        <v>1265</v>
      </c>
      <c r="C532" t="s">
        <v>1125</v>
      </c>
      <c r="D532" s="19">
        <v>3</v>
      </c>
      <c r="E532" s="7" t="s">
        <v>1985</v>
      </c>
      <c r="F532" s="19"/>
      <c r="G532" s="4">
        <f>IF(F532&gt;0,F532,IF(PrefetchDBSummary!$C$10="B",AJ532,8))</f>
        <v>8</v>
      </c>
      <c r="H532" s="4">
        <f>PrefetchDBSummary!$C$57</f>
        <v>0</v>
      </c>
      <c r="I532" s="4">
        <f>PrefetchDBSummary!$D$57</f>
        <v>0</v>
      </c>
      <c r="J532" s="5">
        <f t="shared" si="95"/>
        <v>0</v>
      </c>
      <c r="K532" s="4">
        <f t="shared" si="96"/>
        <v>0</v>
      </c>
      <c r="L532" s="4">
        <f t="shared" si="97"/>
        <v>0</v>
      </c>
      <c r="M532" s="5">
        <f t="shared" si="98"/>
        <v>0</v>
      </c>
      <c r="N532" s="17">
        <f t="shared" si="93"/>
        <v>0</v>
      </c>
      <c r="O532" s="32">
        <f t="shared" si="94"/>
        <v>0</v>
      </c>
      <c r="AG532" t="s">
        <v>1148</v>
      </c>
      <c r="AH532" t="s">
        <v>583</v>
      </c>
      <c r="AI532">
        <v>5</v>
      </c>
      <c r="AJ532">
        <v>14</v>
      </c>
      <c r="AK532">
        <v>4</v>
      </c>
      <c r="AL532">
        <v>1</v>
      </c>
      <c r="AM532">
        <v>120</v>
      </c>
      <c r="AN532">
        <v>135</v>
      </c>
      <c r="AO532">
        <v>96</v>
      </c>
      <c r="AP532" s="44"/>
      <c r="AQ532" s="27">
        <f t="shared" si="99"/>
        <v>582.2</v>
      </c>
    </row>
    <row r="533" spans="1:43" ht="12.75">
      <c r="A533" s="59" t="s">
        <v>1120</v>
      </c>
      <c r="B533" s="7" t="s">
        <v>1265</v>
      </c>
      <c r="C533" t="s">
        <v>1126</v>
      </c>
      <c r="D533" s="19">
        <v>4</v>
      </c>
      <c r="E533" s="7" t="s">
        <v>824</v>
      </c>
      <c r="F533" s="19"/>
      <c r="G533" s="4">
        <f>IF(F533&gt;0,F533,IF(PrefetchDBSummary!$C$10="B",AJ533,8))</f>
        <v>8</v>
      </c>
      <c r="H533" s="4">
        <f>PrefetchDBSummary!$C$57</f>
        <v>0</v>
      </c>
      <c r="I533" s="4">
        <f>PrefetchDBSummary!$D$57</f>
        <v>0</v>
      </c>
      <c r="J533" s="5">
        <f t="shared" si="95"/>
        <v>0</v>
      </c>
      <c r="K533" s="4">
        <f t="shared" si="96"/>
        <v>0</v>
      </c>
      <c r="L533" s="4">
        <f t="shared" si="97"/>
        <v>0</v>
      </c>
      <c r="M533" s="5">
        <f t="shared" si="98"/>
        <v>0</v>
      </c>
      <c r="N533" s="17">
        <f t="shared" si="93"/>
        <v>0</v>
      </c>
      <c r="O533" s="32">
        <f t="shared" si="94"/>
        <v>0</v>
      </c>
      <c r="AG533" t="s">
        <v>1149</v>
      </c>
      <c r="AH533" t="s">
        <v>583</v>
      </c>
      <c r="AI533">
        <v>1</v>
      </c>
      <c r="AJ533">
        <v>32</v>
      </c>
      <c r="AK533">
        <v>7</v>
      </c>
      <c r="AL533">
        <v>0</v>
      </c>
      <c r="AM533">
        <v>1323</v>
      </c>
      <c r="AN533">
        <v>1323</v>
      </c>
      <c r="AO533">
        <v>1312</v>
      </c>
      <c r="AP533" s="44"/>
      <c r="AQ533" s="27">
        <f t="shared" si="99"/>
        <v>2618.2000000000003</v>
      </c>
    </row>
    <row r="534" spans="1:43" ht="12.75">
      <c r="A534" s="59" t="s">
        <v>1120</v>
      </c>
      <c r="B534" s="7" t="s">
        <v>1265</v>
      </c>
      <c r="C534" t="s">
        <v>1127</v>
      </c>
      <c r="D534" s="19">
        <v>1</v>
      </c>
      <c r="E534" s="7" t="s">
        <v>747</v>
      </c>
      <c r="F534" s="19"/>
      <c r="G534" s="4">
        <f>IF(F534&gt;0,F534,IF(PrefetchDBSummary!$C$10="B",AJ534,8))</f>
        <v>8</v>
      </c>
      <c r="H534" s="4">
        <f>PrefetchDBSummary!$C$57</f>
        <v>0</v>
      </c>
      <c r="I534" s="4">
        <f>PrefetchDBSummary!$D$57</f>
        <v>0</v>
      </c>
      <c r="J534" s="5">
        <f t="shared" si="95"/>
        <v>0</v>
      </c>
      <c r="K534" s="4">
        <f t="shared" si="96"/>
        <v>0</v>
      </c>
      <c r="L534" s="4">
        <f t="shared" si="97"/>
        <v>0</v>
      </c>
      <c r="M534" s="5">
        <f t="shared" si="98"/>
        <v>0</v>
      </c>
      <c r="N534" s="17">
        <f t="shared" si="93"/>
        <v>0</v>
      </c>
      <c r="O534" s="32">
        <f t="shared" si="94"/>
        <v>0</v>
      </c>
      <c r="AG534" t="s">
        <v>1150</v>
      </c>
      <c r="AH534" t="s">
        <v>583</v>
      </c>
      <c r="AI534">
        <v>10</v>
      </c>
      <c r="AJ534">
        <v>8</v>
      </c>
      <c r="AK534">
        <v>5</v>
      </c>
      <c r="AL534">
        <v>0</v>
      </c>
      <c r="AM534">
        <v>293</v>
      </c>
      <c r="AN534">
        <v>293</v>
      </c>
      <c r="AO534">
        <v>288</v>
      </c>
      <c r="AP534" s="44"/>
      <c r="AQ534" s="27">
        <f t="shared" si="99"/>
        <v>488.2</v>
      </c>
    </row>
    <row r="535" spans="1:43" ht="12.75">
      <c r="A535" s="59" t="s">
        <v>1120</v>
      </c>
      <c r="B535" s="7" t="s">
        <v>1265</v>
      </c>
      <c r="C535" t="s">
        <v>1128</v>
      </c>
      <c r="D535" s="19">
        <v>5</v>
      </c>
      <c r="E535" s="7" t="s">
        <v>2058</v>
      </c>
      <c r="F535" s="19"/>
      <c r="G535" s="4">
        <f>IF(F535&gt;0,F535,IF(PrefetchDBSummary!$C$10="B",AJ535,8))</f>
        <v>8</v>
      </c>
      <c r="H535" s="4">
        <f>PrefetchDBSummary!$C$57</f>
        <v>0</v>
      </c>
      <c r="I535" s="4">
        <f>PrefetchDBSummary!$D$57</f>
        <v>0</v>
      </c>
      <c r="J535" s="5">
        <f t="shared" si="95"/>
        <v>0</v>
      </c>
      <c r="K535" s="4">
        <f t="shared" si="96"/>
        <v>0</v>
      </c>
      <c r="L535" s="4">
        <f t="shared" si="97"/>
        <v>0</v>
      </c>
      <c r="M535" s="5">
        <f t="shared" si="98"/>
        <v>0</v>
      </c>
      <c r="N535" s="17">
        <f t="shared" si="93"/>
        <v>0</v>
      </c>
      <c r="O535" s="32">
        <f t="shared" si="94"/>
        <v>0</v>
      </c>
      <c r="AG535" t="s">
        <v>1151</v>
      </c>
      <c r="AH535" t="s">
        <v>583</v>
      </c>
      <c r="AI535">
        <v>8</v>
      </c>
      <c r="AJ535">
        <v>14</v>
      </c>
      <c r="AK535">
        <v>5</v>
      </c>
      <c r="AL535">
        <v>1</v>
      </c>
      <c r="AM535">
        <v>185</v>
      </c>
      <c r="AN535">
        <v>224</v>
      </c>
      <c r="AO535">
        <v>160</v>
      </c>
      <c r="AP535" s="44"/>
      <c r="AQ535" s="27">
        <f t="shared" si="99"/>
        <v>905</v>
      </c>
    </row>
    <row r="536" spans="1:43" ht="12.75">
      <c r="A536" s="59" t="s">
        <v>1120</v>
      </c>
      <c r="B536" s="7" t="s">
        <v>1265</v>
      </c>
      <c r="C536" t="s">
        <v>1129</v>
      </c>
      <c r="D536" s="19"/>
      <c r="E536" s="7" t="s">
        <v>1986</v>
      </c>
      <c r="F536" s="19"/>
      <c r="G536" s="4">
        <f>IF(F536&gt;0,F536,IF(PrefetchDBSummary!$C$10="B",AJ536,8))</f>
        <v>8</v>
      </c>
      <c r="H536" s="4">
        <f>PrefetchDBSummary!$C$57</f>
        <v>0</v>
      </c>
      <c r="I536" s="4">
        <f>PrefetchDBSummary!$D$57</f>
        <v>0</v>
      </c>
      <c r="J536" s="5">
        <f t="shared" si="95"/>
        <v>0</v>
      </c>
      <c r="K536" s="4">
        <f t="shared" si="96"/>
        <v>0</v>
      </c>
      <c r="L536" s="4">
        <f t="shared" si="97"/>
        <v>0</v>
      </c>
      <c r="M536" s="5">
        <f t="shared" si="98"/>
        <v>0</v>
      </c>
      <c r="N536" s="17">
        <f t="shared" si="93"/>
        <v>0</v>
      </c>
      <c r="O536" s="32">
        <f t="shared" si="94"/>
        <v>0</v>
      </c>
      <c r="AG536" t="s">
        <v>1152</v>
      </c>
      <c r="AH536" t="s">
        <v>583</v>
      </c>
      <c r="AI536">
        <v>5</v>
      </c>
      <c r="AJ536">
        <v>14</v>
      </c>
      <c r="AK536">
        <v>3</v>
      </c>
      <c r="AL536">
        <v>1</v>
      </c>
      <c r="AM536">
        <v>103</v>
      </c>
      <c r="AN536">
        <v>118</v>
      </c>
      <c r="AO536">
        <v>96</v>
      </c>
      <c r="AP536" s="44"/>
      <c r="AQ536" s="27">
        <f t="shared" si="99"/>
        <v>307</v>
      </c>
    </row>
    <row r="537" spans="1:43" ht="12.75">
      <c r="A537" s="59" t="s">
        <v>1120</v>
      </c>
      <c r="B537" s="7" t="s">
        <v>1265</v>
      </c>
      <c r="C537" t="s">
        <v>1130</v>
      </c>
      <c r="D537" s="19"/>
      <c r="E537" s="7" t="s">
        <v>1986</v>
      </c>
      <c r="F537" s="19"/>
      <c r="G537" s="4">
        <f>IF(F537&gt;0,F537,IF(PrefetchDBSummary!$C$10="B",AJ537,8))</f>
        <v>8</v>
      </c>
      <c r="H537" s="4">
        <f>PrefetchDBSummary!$C$57</f>
        <v>0</v>
      </c>
      <c r="I537" s="4">
        <f>PrefetchDBSummary!$D$57</f>
        <v>0</v>
      </c>
      <c r="J537" s="5">
        <f t="shared" si="95"/>
        <v>0</v>
      </c>
      <c r="K537" s="4">
        <f t="shared" si="96"/>
        <v>0</v>
      </c>
      <c r="L537" s="4">
        <f t="shared" si="97"/>
        <v>0</v>
      </c>
      <c r="M537" s="5">
        <f t="shared" si="98"/>
        <v>0</v>
      </c>
      <c r="N537" s="17">
        <f t="shared" si="93"/>
        <v>0</v>
      </c>
      <c r="O537" s="32">
        <f t="shared" si="94"/>
        <v>0</v>
      </c>
      <c r="AG537" t="s">
        <v>1153</v>
      </c>
      <c r="AH537" t="s">
        <v>583</v>
      </c>
      <c r="AI537">
        <v>5</v>
      </c>
      <c r="AJ537">
        <v>14</v>
      </c>
      <c r="AK537">
        <v>10</v>
      </c>
      <c r="AL537">
        <v>2</v>
      </c>
      <c r="AM537">
        <v>1470</v>
      </c>
      <c r="AN537">
        <v>1536</v>
      </c>
      <c r="AO537">
        <v>1440</v>
      </c>
      <c r="AP537" s="44"/>
      <c r="AQ537" s="27">
        <f t="shared" si="99"/>
        <v>440</v>
      </c>
    </row>
    <row r="538" spans="1:43" ht="12.75">
      <c r="A538" s="59" t="s">
        <v>1120</v>
      </c>
      <c r="B538" s="7" t="s">
        <v>1265</v>
      </c>
      <c r="C538" t="s">
        <v>1131</v>
      </c>
      <c r="D538" s="19">
        <v>3</v>
      </c>
      <c r="E538" s="7"/>
      <c r="F538" s="19"/>
      <c r="G538" s="4">
        <f>IF(F538&gt;0,F538,IF(PrefetchDBSummary!$C$10="B",AJ538,8))</f>
        <v>8</v>
      </c>
      <c r="H538" s="4">
        <f>PrefetchDBSummary!$C$57</f>
        <v>0</v>
      </c>
      <c r="I538" s="4">
        <f>PrefetchDBSummary!$D$57</f>
        <v>0</v>
      </c>
      <c r="J538" s="5">
        <f t="shared" si="95"/>
        <v>0</v>
      </c>
      <c r="K538" s="4">
        <f t="shared" si="96"/>
        <v>0</v>
      </c>
      <c r="L538" s="4">
        <f t="shared" si="97"/>
        <v>0</v>
      </c>
      <c r="M538" s="5">
        <f t="shared" si="98"/>
        <v>0</v>
      </c>
      <c r="N538" s="17">
        <f t="shared" si="93"/>
        <v>0</v>
      </c>
      <c r="O538" s="32">
        <f t="shared" si="94"/>
        <v>0</v>
      </c>
      <c r="AG538" t="s">
        <v>1154</v>
      </c>
      <c r="AH538" t="s">
        <v>583</v>
      </c>
      <c r="AI538">
        <v>8</v>
      </c>
      <c r="AJ538">
        <v>14</v>
      </c>
      <c r="AK538">
        <v>8</v>
      </c>
      <c r="AL538">
        <v>5</v>
      </c>
      <c r="AM538">
        <v>188</v>
      </c>
      <c r="AN538">
        <v>263</v>
      </c>
      <c r="AO538">
        <v>160</v>
      </c>
      <c r="AP538" s="44"/>
      <c r="AQ538" s="27">
        <f t="shared" si="99"/>
        <v>747</v>
      </c>
    </row>
    <row r="539" spans="1:43" ht="12.75">
      <c r="A539" s="59" t="s">
        <v>1120</v>
      </c>
      <c r="B539" s="7" t="s">
        <v>1265</v>
      </c>
      <c r="C539" t="s">
        <v>1132</v>
      </c>
      <c r="D539" s="19">
        <v>1</v>
      </c>
      <c r="E539" s="12" t="s">
        <v>2051</v>
      </c>
      <c r="F539" s="19"/>
      <c r="G539" s="4">
        <f>IF(F539&gt;0,F539,IF(PrefetchDBSummary!$C$10="B",AJ539,8))</f>
        <v>8</v>
      </c>
      <c r="H539" s="4">
        <f>PrefetchDBSummary!$C$57</f>
        <v>0</v>
      </c>
      <c r="I539" s="4">
        <f>PrefetchDBSummary!$D$57</f>
        <v>0</v>
      </c>
      <c r="J539" s="5">
        <f t="shared" si="95"/>
        <v>0</v>
      </c>
      <c r="K539" s="4">
        <f t="shared" si="96"/>
        <v>0</v>
      </c>
      <c r="L539" s="4">
        <f t="shared" si="97"/>
        <v>0</v>
      </c>
      <c r="M539" s="5">
        <f t="shared" si="98"/>
        <v>0</v>
      </c>
      <c r="N539" s="17">
        <f t="shared" si="93"/>
        <v>0</v>
      </c>
      <c r="O539" s="32">
        <f t="shared" si="94"/>
        <v>0</v>
      </c>
      <c r="AG539" t="s">
        <v>1155</v>
      </c>
      <c r="AH539" t="s">
        <v>583</v>
      </c>
      <c r="AI539">
        <v>8</v>
      </c>
      <c r="AJ539">
        <v>8</v>
      </c>
      <c r="AK539">
        <v>4</v>
      </c>
      <c r="AL539">
        <v>0</v>
      </c>
      <c r="AM539">
        <v>228</v>
      </c>
      <c r="AN539">
        <v>228</v>
      </c>
      <c r="AO539">
        <v>224</v>
      </c>
      <c r="AP539" s="44"/>
      <c r="AQ539" s="27">
        <f t="shared" si="99"/>
        <v>442.6</v>
      </c>
    </row>
    <row r="540" spans="1:43" ht="25.5">
      <c r="A540" s="59" t="s">
        <v>1120</v>
      </c>
      <c r="B540" s="7" t="s">
        <v>1265</v>
      </c>
      <c r="C540" t="s">
        <v>1133</v>
      </c>
      <c r="D540" s="19">
        <v>1</v>
      </c>
      <c r="E540" s="12" t="s">
        <v>2052</v>
      </c>
      <c r="F540" s="19"/>
      <c r="G540" s="4">
        <f>IF(F540&gt;0,F540,IF(PrefetchDBSummary!$C$10="B",AJ540,8))</f>
        <v>8</v>
      </c>
      <c r="H540" s="4">
        <f>PrefetchDBSummary!$C$57</f>
        <v>0</v>
      </c>
      <c r="I540" s="4">
        <f>PrefetchDBSummary!$D$57</f>
        <v>0</v>
      </c>
      <c r="J540" s="5">
        <f t="shared" si="95"/>
        <v>0</v>
      </c>
      <c r="K540" s="4">
        <f t="shared" si="96"/>
        <v>0</v>
      </c>
      <c r="L540" s="4">
        <f t="shared" si="97"/>
        <v>0</v>
      </c>
      <c r="M540" s="5">
        <f t="shared" si="98"/>
        <v>0</v>
      </c>
      <c r="N540" s="17">
        <f t="shared" si="93"/>
        <v>0</v>
      </c>
      <c r="O540" s="32">
        <f t="shared" si="94"/>
        <v>0</v>
      </c>
      <c r="AG540" t="s">
        <v>1156</v>
      </c>
      <c r="AH540" t="s">
        <v>583</v>
      </c>
      <c r="AI540">
        <v>10</v>
      </c>
      <c r="AJ540">
        <v>8</v>
      </c>
      <c r="AK540">
        <v>5</v>
      </c>
      <c r="AL540">
        <v>0</v>
      </c>
      <c r="AM540">
        <v>293</v>
      </c>
      <c r="AN540">
        <v>293</v>
      </c>
      <c r="AO540">
        <v>288</v>
      </c>
      <c r="AP540" s="44"/>
      <c r="AQ540" s="27">
        <f t="shared" si="99"/>
        <v>488.2</v>
      </c>
    </row>
    <row r="541" spans="1:43" ht="12.75">
      <c r="A541" s="59" t="s">
        <v>1120</v>
      </c>
      <c r="B541" s="7" t="s">
        <v>1265</v>
      </c>
      <c r="C541" t="s">
        <v>1134</v>
      </c>
      <c r="D541" s="19">
        <v>1</v>
      </c>
      <c r="E541" s="12" t="s">
        <v>2051</v>
      </c>
      <c r="F541" s="19"/>
      <c r="G541" s="4">
        <f>IF(F541&gt;0,F541,IF(PrefetchDBSummary!$C$10="B",AJ541,8))</f>
        <v>8</v>
      </c>
      <c r="H541" s="4">
        <f>PrefetchDBSummary!$C$57</f>
        <v>0</v>
      </c>
      <c r="I541" s="4">
        <f>PrefetchDBSummary!$D$57</f>
        <v>0</v>
      </c>
      <c r="J541" s="5">
        <f t="shared" si="95"/>
        <v>0</v>
      </c>
      <c r="K541" s="4">
        <f t="shared" si="96"/>
        <v>0</v>
      </c>
      <c r="L541" s="4">
        <f t="shared" si="97"/>
        <v>0</v>
      </c>
      <c r="M541" s="5">
        <f t="shared" si="98"/>
        <v>0</v>
      </c>
      <c r="N541" s="17">
        <f t="shared" si="93"/>
        <v>0</v>
      </c>
      <c r="O541" s="32">
        <f t="shared" si="94"/>
        <v>0</v>
      </c>
      <c r="AG541" t="s">
        <v>1157</v>
      </c>
      <c r="AH541" t="s">
        <v>583</v>
      </c>
      <c r="AI541">
        <v>5</v>
      </c>
      <c r="AJ541">
        <v>14</v>
      </c>
      <c r="AK541">
        <v>7</v>
      </c>
      <c r="AL541">
        <v>2</v>
      </c>
      <c r="AM541">
        <v>255</v>
      </c>
      <c r="AN541">
        <v>333</v>
      </c>
      <c r="AO541">
        <v>224</v>
      </c>
      <c r="AP541" s="44"/>
      <c r="AQ541" s="27">
        <f t="shared" si="99"/>
        <v>526.6</v>
      </c>
    </row>
    <row r="542" spans="1:43" ht="12.75">
      <c r="A542" s="59" t="s">
        <v>1120</v>
      </c>
      <c r="B542" s="7" t="s">
        <v>1265</v>
      </c>
      <c r="C542" t="s">
        <v>1135</v>
      </c>
      <c r="D542" s="19">
        <v>1</v>
      </c>
      <c r="E542" s="12" t="s">
        <v>2053</v>
      </c>
      <c r="F542" s="19"/>
      <c r="G542" s="4">
        <f>IF(F542&gt;0,F542,IF(PrefetchDBSummary!$C$10="B",AJ542,8))</f>
        <v>8</v>
      </c>
      <c r="H542" s="4">
        <f>PrefetchDBSummary!$C$57</f>
        <v>0</v>
      </c>
      <c r="I542" s="4">
        <f>PrefetchDBSummary!$D$57</f>
        <v>0</v>
      </c>
      <c r="J542" s="5">
        <f t="shared" si="95"/>
        <v>0</v>
      </c>
      <c r="K542" s="4">
        <f t="shared" si="96"/>
        <v>0</v>
      </c>
      <c r="L542" s="4">
        <f t="shared" si="97"/>
        <v>0</v>
      </c>
      <c r="M542" s="5">
        <f t="shared" si="98"/>
        <v>0</v>
      </c>
      <c r="N542" s="17">
        <f t="shared" si="93"/>
        <v>0</v>
      </c>
      <c r="O542" s="32">
        <f t="shared" si="94"/>
        <v>0</v>
      </c>
      <c r="AG542" t="s">
        <v>1158</v>
      </c>
      <c r="AH542" t="s">
        <v>583</v>
      </c>
      <c r="AI542">
        <v>8</v>
      </c>
      <c r="AJ542">
        <v>8</v>
      </c>
      <c r="AK542">
        <v>6</v>
      </c>
      <c r="AL542">
        <v>0</v>
      </c>
      <c r="AM542">
        <v>298</v>
      </c>
      <c r="AN542">
        <v>298</v>
      </c>
      <c r="AO542">
        <v>288</v>
      </c>
      <c r="AP542" s="44"/>
      <c r="AQ542" s="27">
        <f t="shared" si="99"/>
        <v>512.2</v>
      </c>
    </row>
    <row r="543" spans="1:43" ht="12.75">
      <c r="A543" s="59" t="s">
        <v>1120</v>
      </c>
      <c r="B543" s="7" t="s">
        <v>1265</v>
      </c>
      <c r="C543" t="s">
        <v>1136</v>
      </c>
      <c r="D543" s="19">
        <v>1</v>
      </c>
      <c r="E543" s="12" t="s">
        <v>2054</v>
      </c>
      <c r="F543" s="19"/>
      <c r="G543" s="4">
        <f>IF(F543&gt;0,F543,IF(PrefetchDBSummary!$C$10="B",AJ543,8))</f>
        <v>8</v>
      </c>
      <c r="H543" s="4">
        <f>PrefetchDBSummary!$C$57</f>
        <v>0</v>
      </c>
      <c r="I543" s="4">
        <f>PrefetchDBSummary!$D$57</f>
        <v>0</v>
      </c>
      <c r="J543" s="5">
        <f t="shared" si="95"/>
        <v>0</v>
      </c>
      <c r="K543" s="4">
        <f t="shared" si="96"/>
        <v>0</v>
      </c>
      <c r="L543" s="4">
        <f t="shared" si="97"/>
        <v>0</v>
      </c>
      <c r="M543" s="5">
        <f t="shared" si="98"/>
        <v>0</v>
      </c>
      <c r="N543" s="17">
        <f t="shared" si="93"/>
        <v>0</v>
      </c>
      <c r="O543" s="32">
        <f t="shared" si="94"/>
        <v>0</v>
      </c>
      <c r="AG543" t="s">
        <v>1159</v>
      </c>
      <c r="AH543" t="s">
        <v>583</v>
      </c>
      <c r="AI543">
        <v>5</v>
      </c>
      <c r="AJ543">
        <v>14</v>
      </c>
      <c r="AK543">
        <v>3</v>
      </c>
      <c r="AL543">
        <v>0</v>
      </c>
      <c r="AM543">
        <v>55</v>
      </c>
      <c r="AN543">
        <v>55</v>
      </c>
      <c r="AO543">
        <v>32</v>
      </c>
      <c r="AP543" s="44"/>
      <c r="AQ543" s="27">
        <f t="shared" si="99"/>
        <v>365.8</v>
      </c>
    </row>
    <row r="544" spans="1:43" ht="12.75">
      <c r="A544" s="59" t="s">
        <v>1120</v>
      </c>
      <c r="B544" s="7" t="s">
        <v>1265</v>
      </c>
      <c r="C544" t="s">
        <v>1137</v>
      </c>
      <c r="D544" s="19"/>
      <c r="E544" s="12" t="s">
        <v>2055</v>
      </c>
      <c r="F544" s="19"/>
      <c r="G544" s="4">
        <f>IF(F544&gt;0,F544,IF(PrefetchDBSummary!$C$10="B",AJ544,8))</f>
        <v>8</v>
      </c>
      <c r="H544" s="4">
        <f>PrefetchDBSummary!$C$57</f>
        <v>0</v>
      </c>
      <c r="I544" s="4">
        <f>PrefetchDBSummary!$D$57</f>
        <v>0</v>
      </c>
      <c r="J544" s="5">
        <f t="shared" si="95"/>
        <v>0</v>
      </c>
      <c r="K544" s="4">
        <f t="shared" si="96"/>
        <v>0</v>
      </c>
      <c r="L544" s="4">
        <f t="shared" si="97"/>
        <v>0</v>
      </c>
      <c r="M544" s="5">
        <f t="shared" si="98"/>
        <v>0</v>
      </c>
      <c r="N544" s="17">
        <f t="shared" si="93"/>
        <v>0</v>
      </c>
      <c r="O544" s="32">
        <f t="shared" si="94"/>
        <v>0</v>
      </c>
      <c r="AG544" t="s">
        <v>1160</v>
      </c>
      <c r="AH544" t="s">
        <v>583</v>
      </c>
      <c r="AI544">
        <v>5</v>
      </c>
      <c r="AJ544">
        <v>14</v>
      </c>
      <c r="AK544">
        <v>6</v>
      </c>
      <c r="AL544">
        <v>1</v>
      </c>
      <c r="AM544">
        <v>1258</v>
      </c>
      <c r="AN544">
        <v>1273</v>
      </c>
      <c r="AO544">
        <v>1248</v>
      </c>
      <c r="AP544" s="44"/>
      <c r="AQ544" s="27">
        <f t="shared" si="99"/>
        <v>364</v>
      </c>
    </row>
    <row r="545" spans="1:43" ht="12.75">
      <c r="A545" s="59" t="s">
        <v>1120</v>
      </c>
      <c r="B545" s="7" t="s">
        <v>1265</v>
      </c>
      <c r="C545" t="s">
        <v>1138</v>
      </c>
      <c r="D545" s="19">
        <v>10</v>
      </c>
      <c r="E545" s="7" t="s">
        <v>1987</v>
      </c>
      <c r="F545" s="19"/>
      <c r="G545" s="4">
        <f>IF(F545&gt;0,F545,IF(PrefetchDBSummary!$C$10="B",AJ545,8))</f>
        <v>8</v>
      </c>
      <c r="H545" s="4">
        <f>PrefetchDBSummary!$C$57</f>
        <v>0</v>
      </c>
      <c r="I545" s="4">
        <f>PrefetchDBSummary!$D$57</f>
        <v>0</v>
      </c>
      <c r="J545" s="5">
        <f t="shared" si="95"/>
        <v>0</v>
      </c>
      <c r="K545" s="4">
        <f t="shared" si="96"/>
        <v>0</v>
      </c>
      <c r="L545" s="4">
        <f t="shared" si="97"/>
        <v>0</v>
      </c>
      <c r="M545" s="5">
        <f t="shared" si="98"/>
        <v>0</v>
      </c>
      <c r="N545" s="17">
        <f t="shared" si="93"/>
        <v>0</v>
      </c>
      <c r="O545" s="32">
        <f t="shared" si="94"/>
        <v>0</v>
      </c>
      <c r="AG545" t="s">
        <v>1161</v>
      </c>
      <c r="AH545" t="s">
        <v>583</v>
      </c>
      <c r="AI545">
        <v>5</v>
      </c>
      <c r="AJ545">
        <v>8</v>
      </c>
      <c r="AK545">
        <v>9</v>
      </c>
      <c r="AL545">
        <v>5</v>
      </c>
      <c r="AM545">
        <v>301</v>
      </c>
      <c r="AN545">
        <v>520</v>
      </c>
      <c r="AO545">
        <v>224</v>
      </c>
      <c r="AP545" s="44"/>
      <c r="AQ545" s="27">
        <f t="shared" si="99"/>
        <v>2317</v>
      </c>
    </row>
    <row r="546" spans="1:43" ht="12.75">
      <c r="A546" s="59" t="s">
        <v>1120</v>
      </c>
      <c r="B546" s="7" t="s">
        <v>1265</v>
      </c>
      <c r="C546" t="s">
        <v>1139</v>
      </c>
      <c r="D546" s="19">
        <v>7</v>
      </c>
      <c r="E546" s="7" t="s">
        <v>715</v>
      </c>
      <c r="F546" s="19"/>
      <c r="G546" s="4">
        <f>IF(F546&gt;0,F546,IF(PrefetchDBSummary!$C$10="B",AJ546,8))</f>
        <v>8</v>
      </c>
      <c r="H546" s="4">
        <f>PrefetchDBSummary!$C$57</f>
        <v>0</v>
      </c>
      <c r="I546" s="4">
        <f>PrefetchDBSummary!$D$57</f>
        <v>0</v>
      </c>
      <c r="J546" s="5">
        <f t="shared" si="95"/>
        <v>0</v>
      </c>
      <c r="K546" s="4">
        <f t="shared" si="96"/>
        <v>0</v>
      </c>
      <c r="L546" s="4">
        <f t="shared" si="97"/>
        <v>0</v>
      </c>
      <c r="M546" s="5">
        <f t="shared" si="98"/>
        <v>0</v>
      </c>
      <c r="N546" s="17">
        <f t="shared" si="93"/>
        <v>0</v>
      </c>
      <c r="O546" s="32">
        <f t="shared" si="94"/>
        <v>0</v>
      </c>
      <c r="AG546" t="s">
        <v>1162</v>
      </c>
      <c r="AH546" t="s">
        <v>583</v>
      </c>
      <c r="AI546">
        <v>5</v>
      </c>
      <c r="AJ546">
        <v>8</v>
      </c>
      <c r="AK546">
        <v>11</v>
      </c>
      <c r="AL546">
        <v>6</v>
      </c>
      <c r="AM546">
        <v>383</v>
      </c>
      <c r="AN546">
        <v>653</v>
      </c>
      <c r="AO546">
        <v>288</v>
      </c>
      <c r="AP546" s="44"/>
      <c r="AQ546" s="27">
        <f t="shared" si="99"/>
        <v>2091.3999999999996</v>
      </c>
    </row>
    <row r="547" spans="1:43" ht="12.75">
      <c r="A547" s="59" t="s">
        <v>1120</v>
      </c>
      <c r="B547" s="7" t="s">
        <v>1265</v>
      </c>
      <c r="C547" t="s">
        <v>1140</v>
      </c>
      <c r="D547" s="19">
        <v>1</v>
      </c>
      <c r="E547" s="12" t="s">
        <v>2056</v>
      </c>
      <c r="F547" s="19"/>
      <c r="G547" s="4">
        <f>IF(F547&gt;0,F547,IF(PrefetchDBSummary!$C$10="B",AJ547,8))</f>
        <v>8</v>
      </c>
      <c r="H547" s="4">
        <f>PrefetchDBSummary!$C$57</f>
        <v>0</v>
      </c>
      <c r="I547" s="4">
        <f>PrefetchDBSummary!$D$57</f>
        <v>0</v>
      </c>
      <c r="J547" s="5">
        <f t="shared" si="95"/>
        <v>0</v>
      </c>
      <c r="K547" s="4">
        <f t="shared" si="96"/>
        <v>0</v>
      </c>
      <c r="L547" s="4">
        <f t="shared" si="97"/>
        <v>0</v>
      </c>
      <c r="M547" s="5">
        <f t="shared" si="98"/>
        <v>0</v>
      </c>
      <c r="N547" s="17">
        <f t="shared" si="93"/>
        <v>0</v>
      </c>
      <c r="O547" s="32">
        <f t="shared" si="94"/>
        <v>0</v>
      </c>
      <c r="AG547" t="s">
        <v>1163</v>
      </c>
      <c r="AH547" t="s">
        <v>583</v>
      </c>
      <c r="AI547">
        <v>8</v>
      </c>
      <c r="AJ547">
        <v>8</v>
      </c>
      <c r="AK547">
        <v>5</v>
      </c>
      <c r="AL547">
        <v>0</v>
      </c>
      <c r="AM547">
        <v>293</v>
      </c>
      <c r="AN547">
        <v>293</v>
      </c>
      <c r="AO547">
        <v>288</v>
      </c>
      <c r="AP547" s="44"/>
      <c r="AQ547" s="27">
        <f t="shared" si="99"/>
        <v>488.2</v>
      </c>
    </row>
    <row r="548" spans="1:43" ht="12.75">
      <c r="A548" s="59" t="s">
        <v>1120</v>
      </c>
      <c r="B548" s="7" t="s">
        <v>1265</v>
      </c>
      <c r="C548" t="s">
        <v>1141</v>
      </c>
      <c r="D548" s="19">
        <v>1</v>
      </c>
      <c r="E548" s="7" t="s">
        <v>710</v>
      </c>
      <c r="F548" s="19"/>
      <c r="G548" s="4">
        <f>IF(F548&gt;0,F548,IF(PrefetchDBSummary!$C$10="B",AJ548,8))</f>
        <v>8</v>
      </c>
      <c r="H548" s="4">
        <f>PrefetchDBSummary!$C$57</f>
        <v>0</v>
      </c>
      <c r="I548" s="4">
        <f>PrefetchDBSummary!$D$57</f>
        <v>0</v>
      </c>
      <c r="J548" s="5">
        <f t="shared" si="95"/>
        <v>0</v>
      </c>
      <c r="K548" s="4">
        <f t="shared" si="96"/>
        <v>0</v>
      </c>
      <c r="L548" s="4">
        <f t="shared" si="97"/>
        <v>0</v>
      </c>
      <c r="M548" s="5">
        <f t="shared" si="98"/>
        <v>0</v>
      </c>
      <c r="N548" s="17">
        <f t="shared" si="93"/>
        <v>0</v>
      </c>
      <c r="O548" s="32">
        <f t="shared" si="94"/>
        <v>0</v>
      </c>
      <c r="AG548" t="s">
        <v>1164</v>
      </c>
      <c r="AH548" t="s">
        <v>583</v>
      </c>
      <c r="AI548">
        <v>8</v>
      </c>
      <c r="AJ548">
        <v>8</v>
      </c>
      <c r="AK548">
        <v>5</v>
      </c>
      <c r="AL548">
        <v>0</v>
      </c>
      <c r="AM548">
        <v>293</v>
      </c>
      <c r="AN548">
        <v>293</v>
      </c>
      <c r="AO548">
        <v>288</v>
      </c>
      <c r="AP548" s="44"/>
      <c r="AQ548" s="27">
        <f t="shared" si="99"/>
        <v>488.2</v>
      </c>
    </row>
    <row r="549" spans="1:43" ht="12.75">
      <c r="A549" s="59" t="s">
        <v>1120</v>
      </c>
      <c r="B549" s="7" t="s">
        <v>1265</v>
      </c>
      <c r="C549" t="s">
        <v>1142</v>
      </c>
      <c r="D549" s="19">
        <v>6</v>
      </c>
      <c r="E549" s="7" t="s">
        <v>783</v>
      </c>
      <c r="F549" s="19"/>
      <c r="G549" s="4">
        <f>IF(F549&gt;0,F549,IF(PrefetchDBSummary!$C$10="B",AJ549,8))</f>
        <v>8</v>
      </c>
      <c r="H549" s="4">
        <f>PrefetchDBSummary!$C$57</f>
        <v>0</v>
      </c>
      <c r="I549" s="4">
        <f>PrefetchDBSummary!$D$57</f>
        <v>0</v>
      </c>
      <c r="J549" s="5">
        <f t="shared" si="95"/>
        <v>0</v>
      </c>
      <c r="K549" s="4">
        <f t="shared" si="96"/>
        <v>0</v>
      </c>
      <c r="L549" s="4">
        <f t="shared" si="97"/>
        <v>0</v>
      </c>
      <c r="M549" s="5">
        <f t="shared" si="98"/>
        <v>0</v>
      </c>
      <c r="N549" s="17">
        <f t="shared" si="93"/>
        <v>0</v>
      </c>
      <c r="O549" s="32">
        <f t="shared" si="94"/>
        <v>0</v>
      </c>
      <c r="AG549" t="s">
        <v>1165</v>
      </c>
      <c r="AH549" t="s">
        <v>583</v>
      </c>
      <c r="AI549">
        <v>8</v>
      </c>
      <c r="AJ549">
        <v>8</v>
      </c>
      <c r="AK549">
        <v>5</v>
      </c>
      <c r="AL549">
        <v>1</v>
      </c>
      <c r="AM549">
        <v>245</v>
      </c>
      <c r="AN549">
        <v>296</v>
      </c>
      <c r="AO549">
        <v>224</v>
      </c>
      <c r="AP549" s="44"/>
      <c r="AQ549" s="27">
        <f t="shared" si="99"/>
        <v>1146.6000000000001</v>
      </c>
    </row>
    <row r="550" spans="1:43" ht="12.75">
      <c r="A550" s="59" t="s">
        <v>1120</v>
      </c>
      <c r="B550" s="7" t="s">
        <v>1265</v>
      </c>
      <c r="C550" t="s">
        <v>1143</v>
      </c>
      <c r="D550" s="19">
        <v>1</v>
      </c>
      <c r="E550" s="12" t="s">
        <v>2057</v>
      </c>
      <c r="F550" s="19"/>
      <c r="G550" s="4">
        <f>IF(F550&gt;0,F550,IF(PrefetchDBSummary!$C$10="B",AJ550,8))</f>
        <v>8</v>
      </c>
      <c r="H550" s="4">
        <f>PrefetchDBSummary!$C$57</f>
        <v>0</v>
      </c>
      <c r="I550" s="4">
        <f>PrefetchDBSummary!$D$57</f>
        <v>0</v>
      </c>
      <c r="J550" s="5">
        <f t="shared" si="95"/>
        <v>0</v>
      </c>
      <c r="K550" s="4">
        <f t="shared" si="96"/>
        <v>0</v>
      </c>
      <c r="L550" s="4">
        <f t="shared" si="97"/>
        <v>0</v>
      </c>
      <c r="M550" s="5">
        <f t="shared" si="98"/>
        <v>0</v>
      </c>
      <c r="N550" s="17">
        <f t="shared" si="93"/>
        <v>0</v>
      </c>
      <c r="O550" s="32">
        <f t="shared" si="94"/>
        <v>0</v>
      </c>
      <c r="AG550" t="s">
        <v>1166</v>
      </c>
      <c r="AH550" t="s">
        <v>583</v>
      </c>
      <c r="AI550">
        <v>5</v>
      </c>
      <c r="AJ550">
        <v>32</v>
      </c>
      <c r="AK550">
        <v>5</v>
      </c>
      <c r="AL550">
        <v>3</v>
      </c>
      <c r="AM550">
        <v>65</v>
      </c>
      <c r="AN550">
        <v>182</v>
      </c>
      <c r="AO550">
        <v>32</v>
      </c>
      <c r="AP550" s="44"/>
      <c r="AQ550" s="27">
        <f t="shared" si="99"/>
        <v>413.8</v>
      </c>
    </row>
    <row r="551" spans="1:43" ht="12.75">
      <c r="A551" s="1" t="s">
        <v>563</v>
      </c>
      <c r="B551" s="7" t="s">
        <v>2034</v>
      </c>
      <c r="C551" t="s">
        <v>501</v>
      </c>
      <c r="D551" s="19">
        <v>14</v>
      </c>
      <c r="E551" s="7" t="s">
        <v>816</v>
      </c>
      <c r="F551" s="19"/>
      <c r="G551" s="4">
        <f>IF(F551&gt;0,F551,IF(PrefetchDBSummary!$C$10="B",AJ551,8))</f>
        <v>8</v>
      </c>
      <c r="H551" s="4">
        <f>PrefetchDBSummary!$C$56</f>
        <v>0</v>
      </c>
      <c r="I551" s="4">
        <f>PrefetchDBSummary!$D$56</f>
        <v>0</v>
      </c>
      <c r="J551" s="5">
        <f t="shared" si="95"/>
        <v>0</v>
      </c>
      <c r="K551" s="4">
        <f t="shared" si="96"/>
        <v>0</v>
      </c>
      <c r="L551" s="4">
        <f t="shared" si="97"/>
        <v>0</v>
      </c>
      <c r="M551" s="5">
        <f t="shared" si="98"/>
        <v>0</v>
      </c>
      <c r="N551" s="17">
        <f t="shared" si="93"/>
        <v>0</v>
      </c>
      <c r="O551" s="32">
        <f t="shared" si="94"/>
        <v>0</v>
      </c>
      <c r="AG551" t="s">
        <v>502</v>
      </c>
      <c r="AH551" t="s">
        <v>583</v>
      </c>
      <c r="AI551">
        <v>5</v>
      </c>
      <c r="AJ551">
        <v>14</v>
      </c>
      <c r="AK551">
        <v>5</v>
      </c>
      <c r="AL551">
        <v>0</v>
      </c>
      <c r="AM551">
        <v>163</v>
      </c>
      <c r="AN551">
        <v>163</v>
      </c>
      <c r="AO551">
        <v>144</v>
      </c>
      <c r="AQ551" s="27">
        <f t="shared" si="99"/>
        <v>1739.3999999999999</v>
      </c>
    </row>
    <row r="552" spans="1:43" ht="12.75">
      <c r="A552" s="1" t="s">
        <v>563</v>
      </c>
      <c r="B552" s="7" t="s">
        <v>2034</v>
      </c>
      <c r="C552" t="s">
        <v>499</v>
      </c>
      <c r="D552" s="19">
        <v>1</v>
      </c>
      <c r="E552" s="7" t="s">
        <v>817</v>
      </c>
      <c r="F552" s="19"/>
      <c r="G552" s="4">
        <f>IF(F552&gt;0,F552,IF(PrefetchDBSummary!$C$10="B",AJ552,8))</f>
        <v>8</v>
      </c>
      <c r="H552" s="4">
        <f>PrefetchDBSummary!$C$56</f>
        <v>0</v>
      </c>
      <c r="I552" s="4">
        <f>PrefetchDBSummary!$D$56</f>
        <v>0</v>
      </c>
      <c r="J552" s="5">
        <f t="shared" si="95"/>
        <v>0</v>
      </c>
      <c r="K552" s="4">
        <f t="shared" si="96"/>
        <v>0</v>
      </c>
      <c r="L552" s="4">
        <f t="shared" si="97"/>
        <v>0</v>
      </c>
      <c r="M552" s="5">
        <f t="shared" si="98"/>
        <v>0</v>
      </c>
      <c r="N552" s="17">
        <f t="shared" si="93"/>
        <v>0</v>
      </c>
      <c r="O552" s="32">
        <f t="shared" si="94"/>
        <v>0</v>
      </c>
      <c r="AG552" t="s">
        <v>500</v>
      </c>
      <c r="AH552" t="s">
        <v>583</v>
      </c>
      <c r="AI552">
        <v>5</v>
      </c>
      <c r="AJ552">
        <v>14</v>
      </c>
      <c r="AK552">
        <v>8</v>
      </c>
      <c r="AL552">
        <v>0</v>
      </c>
      <c r="AM552">
        <v>144</v>
      </c>
      <c r="AN552">
        <v>144</v>
      </c>
      <c r="AO552">
        <v>120</v>
      </c>
      <c r="AQ552" s="27">
        <f t="shared" si="99"/>
        <v>497</v>
      </c>
    </row>
    <row r="553" spans="1:43" ht="12.75">
      <c r="A553" s="1" t="s">
        <v>563</v>
      </c>
      <c r="B553" s="7" t="s">
        <v>2034</v>
      </c>
      <c r="C553" t="s">
        <v>505</v>
      </c>
      <c r="D553" s="19">
        <v>1</v>
      </c>
      <c r="E553" s="7" t="str">
        <f>IF(AH553="S","Always one row per interval","")</f>
        <v>Always one row per interval</v>
      </c>
      <c r="F553" s="19"/>
      <c r="G553" s="4">
        <f>IF(F553&gt;0,F553,IF(PrefetchDBSummary!$C$10="B",AJ553,8))</f>
        <v>8</v>
      </c>
      <c r="H553" s="4">
        <f>PrefetchDBSummary!$C$56</f>
        <v>0</v>
      </c>
      <c r="I553" s="4">
        <f>PrefetchDBSummary!$D$56</f>
        <v>0</v>
      </c>
      <c r="J553" s="5">
        <f t="shared" si="95"/>
        <v>0</v>
      </c>
      <c r="K553" s="4">
        <f t="shared" si="96"/>
        <v>0</v>
      </c>
      <c r="L553" s="4">
        <f t="shared" si="97"/>
        <v>0</v>
      </c>
      <c r="M553" s="5">
        <f t="shared" si="98"/>
        <v>0</v>
      </c>
      <c r="N553" s="17">
        <f t="shared" si="93"/>
        <v>0</v>
      </c>
      <c r="O553" s="32">
        <f t="shared" si="94"/>
        <v>0</v>
      </c>
      <c r="AG553" t="s">
        <v>506</v>
      </c>
      <c r="AH553" t="s">
        <v>582</v>
      </c>
      <c r="AI553">
        <v>5</v>
      </c>
      <c r="AJ553">
        <v>14</v>
      </c>
      <c r="AK553">
        <v>2</v>
      </c>
      <c r="AL553">
        <v>0</v>
      </c>
      <c r="AM553">
        <v>69</v>
      </c>
      <c r="AN553">
        <v>69</v>
      </c>
      <c r="AO553">
        <v>64</v>
      </c>
      <c r="AQ553" s="27">
        <f t="shared" si="99"/>
        <v>341.6</v>
      </c>
    </row>
    <row r="554" spans="1:43" ht="12.75">
      <c r="A554" s="1" t="s">
        <v>563</v>
      </c>
      <c r="B554" s="7" t="s">
        <v>2034</v>
      </c>
      <c r="C554" t="s">
        <v>517</v>
      </c>
      <c r="D554" s="19">
        <v>1</v>
      </c>
      <c r="E554" s="7" t="str">
        <f>IF(AH554="S","Always one row per interval","")</f>
        <v>Always one row per interval</v>
      </c>
      <c r="F554" s="19"/>
      <c r="G554" s="4">
        <f>IF(F554&gt;0,F554,IF(PrefetchDBSummary!$C$10="B",AJ554,8))</f>
        <v>8</v>
      </c>
      <c r="H554" s="4">
        <f>PrefetchDBSummary!$C$56</f>
        <v>0</v>
      </c>
      <c r="I554" s="4">
        <f>PrefetchDBSummary!$D$56</f>
        <v>0</v>
      </c>
      <c r="J554" s="5">
        <f t="shared" si="95"/>
        <v>0</v>
      </c>
      <c r="K554" s="4">
        <f t="shared" si="96"/>
        <v>0</v>
      </c>
      <c r="L554" s="4">
        <f t="shared" si="97"/>
        <v>0</v>
      </c>
      <c r="M554" s="5">
        <f t="shared" si="98"/>
        <v>0</v>
      </c>
      <c r="N554" s="17">
        <f t="shared" si="93"/>
        <v>0</v>
      </c>
      <c r="O554" s="32">
        <f t="shared" si="94"/>
        <v>0</v>
      </c>
      <c r="AG554" t="s">
        <v>518</v>
      </c>
      <c r="AH554" t="s">
        <v>582</v>
      </c>
      <c r="AI554">
        <v>8</v>
      </c>
      <c r="AJ554">
        <v>8</v>
      </c>
      <c r="AK554">
        <v>7</v>
      </c>
      <c r="AL554">
        <v>0</v>
      </c>
      <c r="AM554">
        <v>88</v>
      </c>
      <c r="AN554">
        <v>88</v>
      </c>
      <c r="AO554">
        <v>64</v>
      </c>
      <c r="AQ554" s="27">
        <f t="shared" si="99"/>
        <v>455.6</v>
      </c>
    </row>
    <row r="555" spans="1:43" ht="12.75">
      <c r="A555" s="1" t="s">
        <v>563</v>
      </c>
      <c r="B555" s="7" t="s">
        <v>2034</v>
      </c>
      <c r="C555" t="s">
        <v>525</v>
      </c>
      <c r="D555" s="19">
        <v>1</v>
      </c>
      <c r="E555" s="7" t="s">
        <v>710</v>
      </c>
      <c r="F555" s="19"/>
      <c r="G555" s="4">
        <f>IF(F555&gt;0,F555,IF(PrefetchDBSummary!$C$10="B",AJ555,8))</f>
        <v>8</v>
      </c>
      <c r="H555" s="4">
        <f>PrefetchDBSummary!$C$56</f>
        <v>0</v>
      </c>
      <c r="I555" s="4">
        <f>PrefetchDBSummary!$D$56</f>
        <v>0</v>
      </c>
      <c r="J555" s="5">
        <f t="shared" si="95"/>
        <v>0</v>
      </c>
      <c r="K555" s="4">
        <f t="shared" si="96"/>
        <v>0</v>
      </c>
      <c r="L555" s="4">
        <f t="shared" si="97"/>
        <v>0</v>
      </c>
      <c r="M555" s="5">
        <f t="shared" si="98"/>
        <v>0</v>
      </c>
      <c r="N555" s="17">
        <f t="shared" si="93"/>
        <v>0</v>
      </c>
      <c r="O555" s="32">
        <f t="shared" si="94"/>
        <v>0</v>
      </c>
      <c r="AG555" t="s">
        <v>526</v>
      </c>
      <c r="AH555" t="s">
        <v>583</v>
      </c>
      <c r="AI555">
        <v>10</v>
      </c>
      <c r="AJ555">
        <v>8</v>
      </c>
      <c r="AK555">
        <v>2</v>
      </c>
      <c r="AL555">
        <v>0</v>
      </c>
      <c r="AM555">
        <v>67</v>
      </c>
      <c r="AN555">
        <v>67</v>
      </c>
      <c r="AO555">
        <v>64</v>
      </c>
      <c r="AQ555" s="27">
        <f t="shared" si="99"/>
        <v>339.6</v>
      </c>
    </row>
    <row r="556" spans="1:43" ht="12.75">
      <c r="A556" s="1" t="s">
        <v>563</v>
      </c>
      <c r="B556" s="7" t="s">
        <v>2034</v>
      </c>
      <c r="C556" t="s">
        <v>529</v>
      </c>
      <c r="D556" s="19">
        <v>1</v>
      </c>
      <c r="E556" s="7">
        <f>IF(AH556="S","Always one row per interval","")</f>
      </c>
      <c r="F556" s="19"/>
      <c r="G556" s="4">
        <f>IF(F556&gt;0,F556,IF(PrefetchDBSummary!$C$10="B",AJ556,8))</f>
        <v>8</v>
      </c>
      <c r="H556" s="4">
        <f>PrefetchDBSummary!$C$56</f>
        <v>0</v>
      </c>
      <c r="I556" s="4">
        <f>PrefetchDBSummary!$D$56</f>
        <v>0</v>
      </c>
      <c r="J556" s="5">
        <f t="shared" si="95"/>
        <v>0</v>
      </c>
      <c r="K556" s="4">
        <f t="shared" si="96"/>
        <v>0</v>
      </c>
      <c r="L556" s="4">
        <f t="shared" si="97"/>
        <v>0</v>
      </c>
      <c r="M556" s="5">
        <f t="shared" si="98"/>
        <v>0</v>
      </c>
      <c r="N556" s="17">
        <f t="shared" si="93"/>
        <v>0</v>
      </c>
      <c r="O556" s="32">
        <f t="shared" si="94"/>
        <v>0</v>
      </c>
      <c r="AG556" t="s">
        <v>530</v>
      </c>
      <c r="AH556" t="s">
        <v>583</v>
      </c>
      <c r="AI556">
        <v>5</v>
      </c>
      <c r="AJ556">
        <v>14</v>
      </c>
      <c r="AK556">
        <v>9</v>
      </c>
      <c r="AL556">
        <v>0</v>
      </c>
      <c r="AM556">
        <v>65</v>
      </c>
      <c r="AN556">
        <v>65</v>
      </c>
      <c r="AO556">
        <v>64</v>
      </c>
      <c r="AQ556" s="27">
        <f t="shared" si="99"/>
        <v>470.6</v>
      </c>
    </row>
    <row r="557" spans="1:43" ht="12.75">
      <c r="A557" s="1" t="s">
        <v>563</v>
      </c>
      <c r="B557" s="7" t="s">
        <v>2034</v>
      </c>
      <c r="C557" t="s">
        <v>136</v>
      </c>
      <c r="D557" s="19">
        <v>10</v>
      </c>
      <c r="E557" s="7" t="s">
        <v>818</v>
      </c>
      <c r="F557" s="19"/>
      <c r="G557" s="4">
        <f>IF(F557&gt;0,F557,IF(PrefetchDBSummary!$C$10="B",AJ557,8))</f>
        <v>8</v>
      </c>
      <c r="H557" s="4">
        <f>PrefetchDBSummary!$C$56</f>
        <v>0</v>
      </c>
      <c r="I557" s="4">
        <f>PrefetchDBSummary!$D$56</f>
        <v>0</v>
      </c>
      <c r="J557" s="5">
        <f t="shared" si="95"/>
        <v>0</v>
      </c>
      <c r="K557" s="4">
        <f t="shared" si="96"/>
        <v>0</v>
      </c>
      <c r="L557" s="4">
        <f t="shared" si="97"/>
        <v>0</v>
      </c>
      <c r="M557" s="5">
        <f t="shared" si="98"/>
        <v>0</v>
      </c>
      <c r="N557" s="17">
        <f t="shared" si="93"/>
        <v>0</v>
      </c>
      <c r="O557" s="32">
        <f t="shared" si="94"/>
        <v>0</v>
      </c>
      <c r="AG557" t="s">
        <v>148</v>
      </c>
      <c r="AH557" t="s">
        <v>583</v>
      </c>
      <c r="AI557">
        <v>1</v>
      </c>
      <c r="AJ557">
        <v>32</v>
      </c>
      <c r="AK557">
        <v>8</v>
      </c>
      <c r="AL557">
        <v>0</v>
      </c>
      <c r="AM557">
        <v>256</v>
      </c>
      <c r="AN557">
        <v>256</v>
      </c>
      <c r="AO557">
        <v>214</v>
      </c>
      <c r="AQ557" s="27">
        <f t="shared" si="99"/>
        <v>1908.0000000000002</v>
      </c>
    </row>
    <row r="558" spans="1:43" ht="12.75">
      <c r="A558" s="1" t="s">
        <v>563</v>
      </c>
      <c r="B558" s="7" t="s">
        <v>2034</v>
      </c>
      <c r="C558" t="s">
        <v>135</v>
      </c>
      <c r="D558" s="19">
        <v>2</v>
      </c>
      <c r="E558" s="7" t="s">
        <v>810</v>
      </c>
      <c r="F558" s="19"/>
      <c r="G558" s="4">
        <f>IF(F558&gt;0,F558,IF(PrefetchDBSummary!$C$10="B",AJ558,8))</f>
        <v>8</v>
      </c>
      <c r="H558" s="4">
        <f>PrefetchDBSummary!$C$56</f>
        <v>0</v>
      </c>
      <c r="I558" s="4">
        <f>PrefetchDBSummary!$D$56</f>
        <v>0</v>
      </c>
      <c r="J558" s="5">
        <f t="shared" si="95"/>
        <v>0</v>
      </c>
      <c r="K558" s="4">
        <f t="shared" si="96"/>
        <v>0</v>
      </c>
      <c r="L558" s="4">
        <f t="shared" si="97"/>
        <v>0</v>
      </c>
      <c r="M558" s="5">
        <f t="shared" si="98"/>
        <v>0</v>
      </c>
      <c r="N558" s="17">
        <f t="shared" si="93"/>
        <v>0</v>
      </c>
      <c r="O558" s="32">
        <f t="shared" si="94"/>
        <v>0</v>
      </c>
      <c r="AG558" t="s">
        <v>147</v>
      </c>
      <c r="AH558" t="s">
        <v>583</v>
      </c>
      <c r="AI558">
        <v>1</v>
      </c>
      <c r="AJ558">
        <v>32</v>
      </c>
      <c r="AK558">
        <v>10</v>
      </c>
      <c r="AL558">
        <v>0</v>
      </c>
      <c r="AM558">
        <v>908</v>
      </c>
      <c r="AN558">
        <v>908</v>
      </c>
      <c r="AO558">
        <v>829</v>
      </c>
      <c r="AQ558" s="27">
        <f t="shared" si="99"/>
        <v>1307.2</v>
      </c>
    </row>
    <row r="559" spans="1:43" ht="12.75">
      <c r="A559" s="1" t="s">
        <v>563</v>
      </c>
      <c r="B559" s="7" t="s">
        <v>2034</v>
      </c>
      <c r="C559" t="s">
        <v>383</v>
      </c>
      <c r="D559" s="19">
        <v>36</v>
      </c>
      <c r="E559" s="7" t="s">
        <v>811</v>
      </c>
      <c r="F559" s="19"/>
      <c r="G559" s="4">
        <f>IF(F559&gt;0,F559,IF(PrefetchDBSummary!$C$10="B",AJ559,8))</f>
        <v>8</v>
      </c>
      <c r="H559" s="4">
        <f>PrefetchDBSummary!$C$56</f>
        <v>0</v>
      </c>
      <c r="I559" s="4">
        <f>PrefetchDBSummary!$D$56</f>
        <v>0</v>
      </c>
      <c r="J559" s="5">
        <f t="shared" si="95"/>
        <v>0</v>
      </c>
      <c r="K559" s="4">
        <f t="shared" si="96"/>
        <v>0</v>
      </c>
      <c r="L559" s="4">
        <f t="shared" si="97"/>
        <v>0</v>
      </c>
      <c r="M559" s="5">
        <f t="shared" si="98"/>
        <v>0</v>
      </c>
      <c r="N559" s="17">
        <f aca="true" t="shared" si="100" ref="N559:N622">L559*60*24*IF(G559&gt;0,G559,(G559))</f>
        <v>0</v>
      </c>
      <c r="O559" s="32">
        <f aca="true" t="shared" si="101" ref="O559:O622">N559*($AM559-$AO559*IF($AP559&gt;0,1-$AP559,1-$AS$2))*(1-$AS$3)/1024/1024</f>
        <v>0</v>
      </c>
      <c r="AG559" t="s">
        <v>315</v>
      </c>
      <c r="AH559" t="s">
        <v>583</v>
      </c>
      <c r="AI559">
        <v>5</v>
      </c>
      <c r="AJ559">
        <v>32</v>
      </c>
      <c r="AK559">
        <v>6</v>
      </c>
      <c r="AL559">
        <v>0</v>
      </c>
      <c r="AM559">
        <v>187</v>
      </c>
      <c r="AN559">
        <v>187</v>
      </c>
      <c r="AO559">
        <v>160</v>
      </c>
      <c r="AQ559" s="27">
        <f t="shared" si="99"/>
        <v>4468</v>
      </c>
    </row>
    <row r="560" spans="1:43" ht="12.75">
      <c r="A560" s="1" t="s">
        <v>563</v>
      </c>
      <c r="B560" s="7" t="s">
        <v>2034</v>
      </c>
      <c r="C560" t="s">
        <v>503</v>
      </c>
      <c r="D560" s="19">
        <v>17</v>
      </c>
      <c r="E560" s="7" t="s">
        <v>814</v>
      </c>
      <c r="F560" s="19"/>
      <c r="G560" s="4">
        <f>IF(F560&gt;0,F560,IF(PrefetchDBSummary!$C$10="B",AJ560,8))</f>
        <v>8</v>
      </c>
      <c r="H560" s="4">
        <f>PrefetchDBSummary!$C$56</f>
        <v>0</v>
      </c>
      <c r="I560" s="4">
        <f>PrefetchDBSummary!$D$56</f>
        <v>0</v>
      </c>
      <c r="J560" s="5">
        <f t="shared" si="95"/>
        <v>0</v>
      </c>
      <c r="K560" s="4">
        <f t="shared" si="96"/>
        <v>0</v>
      </c>
      <c r="L560" s="4">
        <f t="shared" si="97"/>
        <v>0</v>
      </c>
      <c r="M560" s="5">
        <f t="shared" si="98"/>
        <v>0</v>
      </c>
      <c r="N560" s="17">
        <f t="shared" si="100"/>
        <v>0</v>
      </c>
      <c r="O560" s="32">
        <f t="shared" si="101"/>
        <v>0</v>
      </c>
      <c r="AG560" t="s">
        <v>504</v>
      </c>
      <c r="AH560" t="s">
        <v>583</v>
      </c>
      <c r="AI560">
        <v>1</v>
      </c>
      <c r="AJ560">
        <v>32</v>
      </c>
      <c r="AK560">
        <v>6</v>
      </c>
      <c r="AL560">
        <v>3</v>
      </c>
      <c r="AM560">
        <v>133</v>
      </c>
      <c r="AN560">
        <v>262</v>
      </c>
      <c r="AO560">
        <v>100</v>
      </c>
      <c r="AQ560" s="27">
        <f t="shared" si="99"/>
        <v>1996</v>
      </c>
    </row>
    <row r="561" spans="1:43" ht="12.75">
      <c r="A561" s="1" t="s">
        <v>563</v>
      </c>
      <c r="B561" s="7" t="s">
        <v>2034</v>
      </c>
      <c r="C561" t="s">
        <v>296</v>
      </c>
      <c r="D561" s="19">
        <v>1</v>
      </c>
      <c r="E561" s="7" t="s">
        <v>815</v>
      </c>
      <c r="F561" s="19"/>
      <c r="G561" s="4">
        <f>IF(F561&gt;0,F561,IF(PrefetchDBSummary!$C$10="B",AJ561,8))</f>
        <v>8</v>
      </c>
      <c r="H561" s="4">
        <f>PrefetchDBSummary!$C$56</f>
        <v>0</v>
      </c>
      <c r="I561" s="4">
        <f>PrefetchDBSummary!$D$56</f>
        <v>0</v>
      </c>
      <c r="J561" s="5">
        <f t="shared" si="95"/>
        <v>0</v>
      </c>
      <c r="K561" s="4">
        <f t="shared" si="96"/>
        <v>0</v>
      </c>
      <c r="L561" s="4">
        <f t="shared" si="97"/>
        <v>0</v>
      </c>
      <c r="M561" s="5">
        <f t="shared" si="98"/>
        <v>0</v>
      </c>
      <c r="N561" s="17">
        <f t="shared" si="100"/>
        <v>0</v>
      </c>
      <c r="O561" s="32">
        <f t="shared" si="101"/>
        <v>0</v>
      </c>
      <c r="AG561" t="s">
        <v>318</v>
      </c>
      <c r="AH561" t="s">
        <v>583</v>
      </c>
      <c r="AI561">
        <v>5</v>
      </c>
      <c r="AJ561">
        <v>8</v>
      </c>
      <c r="AK561">
        <v>20</v>
      </c>
      <c r="AL561">
        <v>4</v>
      </c>
      <c r="AM561">
        <v>499</v>
      </c>
      <c r="AN561">
        <v>655</v>
      </c>
      <c r="AO561">
        <v>384</v>
      </c>
      <c r="AQ561" s="27">
        <f t="shared" si="99"/>
        <v>921.6</v>
      </c>
    </row>
    <row r="562" spans="1:43" ht="12.75">
      <c r="A562" s="1" t="s">
        <v>563</v>
      </c>
      <c r="B562" s="7" t="s">
        <v>2034</v>
      </c>
      <c r="C562" t="s">
        <v>384</v>
      </c>
      <c r="D562" s="19">
        <v>3</v>
      </c>
      <c r="E562" s="7" t="s">
        <v>813</v>
      </c>
      <c r="F562" s="19"/>
      <c r="G562" s="4">
        <f>IF(F562&gt;0,F562,IF(PrefetchDBSummary!$C$10="B",AJ562,8))</f>
        <v>8</v>
      </c>
      <c r="H562" s="4">
        <f>PrefetchDBSummary!$C$56</f>
        <v>0</v>
      </c>
      <c r="I562" s="4">
        <f>PrefetchDBSummary!$D$56</f>
        <v>0</v>
      </c>
      <c r="J562" s="5">
        <f t="shared" si="95"/>
        <v>0</v>
      </c>
      <c r="K562" s="4">
        <f t="shared" si="96"/>
        <v>0</v>
      </c>
      <c r="L562" s="4">
        <f t="shared" si="97"/>
        <v>0</v>
      </c>
      <c r="M562" s="5">
        <f t="shared" si="98"/>
        <v>0</v>
      </c>
      <c r="N562" s="17">
        <f t="shared" si="100"/>
        <v>0</v>
      </c>
      <c r="O562" s="32">
        <f t="shared" si="101"/>
        <v>0</v>
      </c>
      <c r="AG562" t="s">
        <v>316</v>
      </c>
      <c r="AH562" t="s">
        <v>583</v>
      </c>
      <c r="AI562">
        <v>1</v>
      </c>
      <c r="AJ562">
        <v>32</v>
      </c>
      <c r="AK562">
        <v>6</v>
      </c>
      <c r="AL562">
        <v>1</v>
      </c>
      <c r="AM562">
        <v>121</v>
      </c>
      <c r="AN562">
        <v>160</v>
      </c>
      <c r="AO562">
        <v>64</v>
      </c>
      <c r="AQ562" s="27">
        <f t="shared" si="99"/>
        <v>680.8</v>
      </c>
    </row>
    <row r="563" spans="1:43" ht="12.75">
      <c r="A563" s="1" t="s">
        <v>563</v>
      </c>
      <c r="B563" s="7" t="s">
        <v>2034</v>
      </c>
      <c r="C563" t="s">
        <v>527</v>
      </c>
      <c r="D563" s="19">
        <v>2</v>
      </c>
      <c r="E563" s="7" t="s">
        <v>819</v>
      </c>
      <c r="F563" s="19"/>
      <c r="G563" s="4">
        <f>IF(F563&gt;0,F563,IF(PrefetchDBSummary!$C$10="B",AJ563,8))</f>
        <v>8</v>
      </c>
      <c r="H563" s="4">
        <f>PrefetchDBSummary!$C$56</f>
        <v>0</v>
      </c>
      <c r="I563" s="4">
        <f>PrefetchDBSummary!$D$56</f>
        <v>0</v>
      </c>
      <c r="J563" s="5">
        <f t="shared" si="95"/>
        <v>0</v>
      </c>
      <c r="K563" s="4">
        <f t="shared" si="96"/>
        <v>0</v>
      </c>
      <c r="L563" s="4">
        <f t="shared" si="97"/>
        <v>0</v>
      </c>
      <c r="M563" s="5">
        <f t="shared" si="98"/>
        <v>0</v>
      </c>
      <c r="N563" s="17">
        <f t="shared" si="100"/>
        <v>0</v>
      </c>
      <c r="O563" s="32">
        <f t="shared" si="101"/>
        <v>0</v>
      </c>
      <c r="AG563" t="s">
        <v>528</v>
      </c>
      <c r="AH563" t="s">
        <v>583</v>
      </c>
      <c r="AI563">
        <v>1</v>
      </c>
      <c r="AJ563">
        <v>32</v>
      </c>
      <c r="AK563">
        <v>6</v>
      </c>
      <c r="AL563">
        <v>0</v>
      </c>
      <c r="AM563">
        <v>330</v>
      </c>
      <c r="AN563">
        <v>330</v>
      </c>
      <c r="AO563">
        <v>300</v>
      </c>
      <c r="AQ563" s="27">
        <f t="shared" si="99"/>
        <v>710</v>
      </c>
    </row>
    <row r="564" spans="1:43" ht="12.75">
      <c r="A564" s="1" t="s">
        <v>563</v>
      </c>
      <c r="B564" s="7" t="s">
        <v>2034</v>
      </c>
      <c r="C564" t="s">
        <v>146</v>
      </c>
      <c r="D564" s="19">
        <v>3</v>
      </c>
      <c r="E564" s="7" t="s">
        <v>820</v>
      </c>
      <c r="F564" s="19"/>
      <c r="G564" s="4">
        <f>IF(F564&gt;0,F564,IF(PrefetchDBSummary!$C$10="B",AJ564,8))</f>
        <v>8</v>
      </c>
      <c r="H564" s="4">
        <f>PrefetchDBSummary!$C$56</f>
        <v>0</v>
      </c>
      <c r="I564" s="4">
        <f>PrefetchDBSummary!$D$56</f>
        <v>0</v>
      </c>
      <c r="J564" s="5">
        <f t="shared" si="95"/>
        <v>0</v>
      </c>
      <c r="K564" s="4">
        <f t="shared" si="96"/>
        <v>0</v>
      </c>
      <c r="L564" s="4">
        <f t="shared" si="97"/>
        <v>0</v>
      </c>
      <c r="M564" s="5">
        <f t="shared" si="98"/>
        <v>0</v>
      </c>
      <c r="N564" s="17">
        <f t="shared" si="100"/>
        <v>0</v>
      </c>
      <c r="O564" s="32">
        <f t="shared" si="101"/>
        <v>0</v>
      </c>
      <c r="AG564" t="s">
        <v>319</v>
      </c>
      <c r="AH564" t="s">
        <v>583</v>
      </c>
      <c r="AI564">
        <v>1</v>
      </c>
      <c r="AJ564">
        <v>32</v>
      </c>
      <c r="AK564">
        <v>12</v>
      </c>
      <c r="AL564">
        <v>3</v>
      </c>
      <c r="AM564">
        <v>385</v>
      </c>
      <c r="AN564">
        <v>502</v>
      </c>
      <c r="AO564">
        <v>328</v>
      </c>
      <c r="AQ564" s="27">
        <f t="shared" si="99"/>
        <v>1111.6</v>
      </c>
    </row>
    <row r="565" spans="1:43" ht="12.75">
      <c r="A565" s="1" t="s">
        <v>563</v>
      </c>
      <c r="B565" s="7" t="s">
        <v>2034</v>
      </c>
      <c r="C565" t="s">
        <v>295</v>
      </c>
      <c r="D565" s="19">
        <v>16</v>
      </c>
      <c r="E565" s="7" t="s">
        <v>812</v>
      </c>
      <c r="F565" s="19"/>
      <c r="G565" s="4">
        <f>IF(F565&gt;0,F565,IF(PrefetchDBSummary!$C$10="B",AJ565,8))</f>
        <v>8</v>
      </c>
      <c r="H565" s="4">
        <f>PrefetchDBSummary!$C$56</f>
        <v>0</v>
      </c>
      <c r="I565" s="4">
        <f>PrefetchDBSummary!$D$56</f>
        <v>0</v>
      </c>
      <c r="J565" s="5">
        <f t="shared" si="95"/>
        <v>0</v>
      </c>
      <c r="K565" s="4">
        <f t="shared" si="96"/>
        <v>0</v>
      </c>
      <c r="L565" s="4">
        <f t="shared" si="97"/>
        <v>0</v>
      </c>
      <c r="M565" s="5">
        <f t="shared" si="98"/>
        <v>0</v>
      </c>
      <c r="N565" s="17">
        <f t="shared" si="100"/>
        <v>0</v>
      </c>
      <c r="O565" s="32">
        <f t="shared" si="101"/>
        <v>0</v>
      </c>
      <c r="AG565" t="s">
        <v>317</v>
      </c>
      <c r="AH565" t="s">
        <v>583</v>
      </c>
      <c r="AI565">
        <v>1</v>
      </c>
      <c r="AJ565">
        <v>32</v>
      </c>
      <c r="AK565">
        <v>5</v>
      </c>
      <c r="AL565">
        <v>1</v>
      </c>
      <c r="AM565">
        <v>78</v>
      </c>
      <c r="AN565">
        <v>117</v>
      </c>
      <c r="AO565">
        <v>64</v>
      </c>
      <c r="AQ565" s="27">
        <f t="shared" si="99"/>
        <v>1346.6</v>
      </c>
    </row>
    <row r="566" spans="1:43" ht="12.75">
      <c r="A566" s="1" t="s">
        <v>563</v>
      </c>
      <c r="B566" s="7" t="s">
        <v>2034</v>
      </c>
      <c r="C566" t="s">
        <v>507</v>
      </c>
      <c r="D566" s="4">
        <f>PrefetchDBSummary!$E$56</f>
        <v>50</v>
      </c>
      <c r="E566" s="7" t="s">
        <v>821</v>
      </c>
      <c r="F566" s="19"/>
      <c r="G566" s="4">
        <f>IF(F566&gt;0,F566,IF(PrefetchDBSummary!$C$10="B",AJ566,8))</f>
        <v>8</v>
      </c>
      <c r="H566" s="4">
        <f>PrefetchDBSummary!$C$56</f>
        <v>0</v>
      </c>
      <c r="I566" s="4">
        <f>PrefetchDBSummary!$D$56</f>
        <v>0</v>
      </c>
      <c r="J566" s="5">
        <f t="shared" si="95"/>
        <v>0</v>
      </c>
      <c r="K566" s="4">
        <f t="shared" si="96"/>
        <v>0</v>
      </c>
      <c r="L566" s="4">
        <f t="shared" si="97"/>
        <v>0</v>
      </c>
      <c r="M566" s="5">
        <f t="shared" si="98"/>
        <v>0</v>
      </c>
      <c r="N566" s="17">
        <f t="shared" si="100"/>
        <v>0</v>
      </c>
      <c r="O566" s="32">
        <f t="shared" si="101"/>
        <v>0</v>
      </c>
      <c r="AG566" t="s">
        <v>508</v>
      </c>
      <c r="AH566" t="s">
        <v>583</v>
      </c>
      <c r="AI566">
        <v>1</v>
      </c>
      <c r="AJ566">
        <v>32</v>
      </c>
      <c r="AK566">
        <v>4</v>
      </c>
      <c r="AL566">
        <v>0</v>
      </c>
      <c r="AM566">
        <v>76</v>
      </c>
      <c r="AN566">
        <v>76</v>
      </c>
      <c r="AO566">
        <v>64</v>
      </c>
      <c r="AQ566" s="27">
        <f t="shared" si="99"/>
        <v>3356</v>
      </c>
    </row>
    <row r="567" spans="1:43" ht="12.75">
      <c r="A567" s="1" t="s">
        <v>563</v>
      </c>
      <c r="B567" s="7" t="s">
        <v>2034</v>
      </c>
      <c r="C567" t="s">
        <v>513</v>
      </c>
      <c r="D567" s="19"/>
      <c r="E567" s="7" t="s">
        <v>823</v>
      </c>
      <c r="F567" s="19"/>
      <c r="G567" s="4">
        <f>IF(F567&gt;0,F567,IF(PrefetchDBSummary!$C$10="B",AJ567,8))</f>
        <v>8</v>
      </c>
      <c r="H567" s="4">
        <f>PrefetchDBSummary!$C$56</f>
        <v>0</v>
      </c>
      <c r="I567" s="4">
        <f>PrefetchDBSummary!$D$56</f>
        <v>0</v>
      </c>
      <c r="J567" s="5">
        <f t="shared" si="95"/>
        <v>0</v>
      </c>
      <c r="K567" s="4">
        <f t="shared" si="96"/>
        <v>0</v>
      </c>
      <c r="L567" s="4">
        <f t="shared" si="97"/>
        <v>0</v>
      </c>
      <c r="M567" s="5">
        <f t="shared" si="98"/>
        <v>0</v>
      </c>
      <c r="N567" s="17">
        <f t="shared" si="100"/>
        <v>0</v>
      </c>
      <c r="O567" s="32">
        <f t="shared" si="101"/>
        <v>0</v>
      </c>
      <c r="AG567" t="s">
        <v>514</v>
      </c>
      <c r="AH567" t="s">
        <v>583</v>
      </c>
      <c r="AI567">
        <v>1</v>
      </c>
      <c r="AJ567">
        <v>32</v>
      </c>
      <c r="AK567">
        <v>8</v>
      </c>
      <c r="AL567">
        <v>0</v>
      </c>
      <c r="AM567">
        <v>435</v>
      </c>
      <c r="AN567">
        <v>435</v>
      </c>
      <c r="AO567">
        <v>396</v>
      </c>
      <c r="AQ567" s="27">
        <f t="shared" si="99"/>
        <v>402</v>
      </c>
    </row>
    <row r="568" spans="1:43" ht="12.75">
      <c r="A568" s="1" t="s">
        <v>563</v>
      </c>
      <c r="B568" s="7" t="s">
        <v>2034</v>
      </c>
      <c r="C568" t="s">
        <v>509</v>
      </c>
      <c r="D568" s="19"/>
      <c r="E568" s="7" t="s">
        <v>824</v>
      </c>
      <c r="F568" s="19"/>
      <c r="G568" s="4">
        <f>IF(F568&gt;0,F568,IF(PrefetchDBSummary!$C$10="B",AJ568,8))</f>
        <v>8</v>
      </c>
      <c r="H568" s="4">
        <f>PrefetchDBSummary!$C$56</f>
        <v>0</v>
      </c>
      <c r="I568" s="4">
        <f>PrefetchDBSummary!$D$56</f>
        <v>0</v>
      </c>
      <c r="J568" s="5">
        <f t="shared" si="95"/>
        <v>0</v>
      </c>
      <c r="K568" s="4">
        <f t="shared" si="96"/>
        <v>0</v>
      </c>
      <c r="L568" s="4">
        <f t="shared" si="97"/>
        <v>0</v>
      </c>
      <c r="M568" s="5">
        <f t="shared" si="98"/>
        <v>0</v>
      </c>
      <c r="N568" s="17">
        <f t="shared" si="100"/>
        <v>0</v>
      </c>
      <c r="O568" s="32">
        <f t="shared" si="101"/>
        <v>0</v>
      </c>
      <c r="AG568" t="s">
        <v>510</v>
      </c>
      <c r="AH568" t="s">
        <v>583</v>
      </c>
      <c r="AI568">
        <v>1</v>
      </c>
      <c r="AJ568">
        <v>32</v>
      </c>
      <c r="AK568">
        <v>5</v>
      </c>
      <c r="AL568">
        <v>0</v>
      </c>
      <c r="AM568">
        <v>857</v>
      </c>
      <c r="AN568">
        <v>857</v>
      </c>
      <c r="AO568">
        <v>829</v>
      </c>
      <c r="AQ568" s="27">
        <f t="shared" si="99"/>
        <v>345</v>
      </c>
    </row>
    <row r="569" spans="1:43" ht="12.75">
      <c r="A569" s="1" t="s">
        <v>563</v>
      </c>
      <c r="B569" s="7" t="s">
        <v>2034</v>
      </c>
      <c r="C569" t="s">
        <v>515</v>
      </c>
      <c r="D569" s="19"/>
      <c r="E569" s="7" t="s">
        <v>825</v>
      </c>
      <c r="F569" s="19"/>
      <c r="G569" s="4">
        <f>IF(F569&gt;0,F569,IF(PrefetchDBSummary!$C$10="B",AJ569,8))</f>
        <v>8</v>
      </c>
      <c r="H569" s="4">
        <f>PrefetchDBSummary!$C$56</f>
        <v>0</v>
      </c>
      <c r="I569" s="4">
        <f>PrefetchDBSummary!$D$56</f>
        <v>0</v>
      </c>
      <c r="J569" s="5">
        <f t="shared" si="95"/>
        <v>0</v>
      </c>
      <c r="K569" s="4">
        <f t="shared" si="96"/>
        <v>0</v>
      </c>
      <c r="L569" s="4">
        <f t="shared" si="97"/>
        <v>0</v>
      </c>
      <c r="M569" s="5">
        <f t="shared" si="98"/>
        <v>0</v>
      </c>
      <c r="N569" s="17">
        <f t="shared" si="100"/>
        <v>0</v>
      </c>
      <c r="O569" s="32">
        <f t="shared" si="101"/>
        <v>0</v>
      </c>
      <c r="AG569" t="s">
        <v>516</v>
      </c>
      <c r="AH569" t="s">
        <v>583</v>
      </c>
      <c r="AI569">
        <v>1</v>
      </c>
      <c r="AJ569">
        <v>32</v>
      </c>
      <c r="AK569">
        <v>6</v>
      </c>
      <c r="AL569">
        <v>0</v>
      </c>
      <c r="AM569">
        <v>437</v>
      </c>
      <c r="AN569">
        <v>437</v>
      </c>
      <c r="AO569">
        <v>424</v>
      </c>
      <c r="AQ569" s="27">
        <f t="shared" si="99"/>
        <v>364</v>
      </c>
    </row>
    <row r="570" spans="1:43" ht="12.75">
      <c r="A570" s="1" t="s">
        <v>563</v>
      </c>
      <c r="B570" s="7" t="s">
        <v>2034</v>
      </c>
      <c r="C570" t="s">
        <v>511</v>
      </c>
      <c r="D570" s="19"/>
      <c r="E570" s="7" t="s">
        <v>826</v>
      </c>
      <c r="F570" s="19"/>
      <c r="G570" s="4">
        <f>IF(F570&gt;0,F570,IF(PrefetchDBSummary!$C$10="B",AJ570,8))</f>
        <v>8</v>
      </c>
      <c r="H570" s="4">
        <f>PrefetchDBSummary!$C$56</f>
        <v>0</v>
      </c>
      <c r="I570" s="4">
        <f>PrefetchDBSummary!$D$56</f>
        <v>0</v>
      </c>
      <c r="J570" s="5">
        <f t="shared" si="95"/>
        <v>0</v>
      </c>
      <c r="K570" s="4">
        <f t="shared" si="96"/>
        <v>0</v>
      </c>
      <c r="L570" s="4">
        <f t="shared" si="97"/>
        <v>0</v>
      </c>
      <c r="M570" s="5">
        <f t="shared" si="98"/>
        <v>0</v>
      </c>
      <c r="N570" s="17">
        <f t="shared" si="100"/>
        <v>0</v>
      </c>
      <c r="O570" s="32">
        <f t="shared" si="101"/>
        <v>0</v>
      </c>
      <c r="AG570" t="s">
        <v>512</v>
      </c>
      <c r="AH570" t="s">
        <v>583</v>
      </c>
      <c r="AI570">
        <v>1</v>
      </c>
      <c r="AJ570">
        <v>32</v>
      </c>
      <c r="AK570">
        <v>6</v>
      </c>
      <c r="AL570">
        <v>0</v>
      </c>
      <c r="AM570">
        <v>317</v>
      </c>
      <c r="AN570">
        <v>317</v>
      </c>
      <c r="AO570">
        <v>304</v>
      </c>
      <c r="AQ570" s="27">
        <f t="shared" si="99"/>
        <v>364</v>
      </c>
    </row>
    <row r="571" spans="1:43" ht="12.75">
      <c r="A571" s="1" t="s">
        <v>563</v>
      </c>
      <c r="B571" s="7" t="s">
        <v>2034</v>
      </c>
      <c r="C571" t="s">
        <v>531</v>
      </c>
      <c r="D571" s="19"/>
      <c r="E571" s="7" t="s">
        <v>827</v>
      </c>
      <c r="F571" s="19"/>
      <c r="G571" s="4">
        <f>IF(F571&gt;0,F571,IF(PrefetchDBSummary!$C$10="B",AJ571,8))</f>
        <v>8</v>
      </c>
      <c r="H571" s="4">
        <f>PrefetchDBSummary!$C$56</f>
        <v>0</v>
      </c>
      <c r="I571" s="4">
        <f>PrefetchDBSummary!$D$56</f>
        <v>0</v>
      </c>
      <c r="J571" s="5">
        <f t="shared" si="95"/>
        <v>0</v>
      </c>
      <c r="K571" s="4">
        <f t="shared" si="96"/>
        <v>0</v>
      </c>
      <c r="L571" s="4">
        <f t="shared" si="97"/>
        <v>0</v>
      </c>
      <c r="M571" s="5">
        <f t="shared" si="98"/>
        <v>0</v>
      </c>
      <c r="N571" s="17">
        <f t="shared" si="100"/>
        <v>0</v>
      </c>
      <c r="O571" s="32">
        <f t="shared" si="101"/>
        <v>0</v>
      </c>
      <c r="AG571" t="s">
        <v>532</v>
      </c>
      <c r="AH571" t="s">
        <v>583</v>
      </c>
      <c r="AI571">
        <v>1</v>
      </c>
      <c r="AJ571">
        <v>32</v>
      </c>
      <c r="AK571">
        <v>9</v>
      </c>
      <c r="AL571">
        <v>0</v>
      </c>
      <c r="AM571">
        <v>110</v>
      </c>
      <c r="AN571">
        <v>110</v>
      </c>
      <c r="AO571">
        <v>64</v>
      </c>
      <c r="AQ571" s="27">
        <f t="shared" si="99"/>
        <v>421</v>
      </c>
    </row>
    <row r="572" spans="1:43" ht="12.75">
      <c r="A572" s="1" t="s">
        <v>563</v>
      </c>
      <c r="B572" s="7" t="s">
        <v>2034</v>
      </c>
      <c r="C572" t="s">
        <v>519</v>
      </c>
      <c r="D572" s="19">
        <v>20</v>
      </c>
      <c r="E572" s="7" t="s">
        <v>828</v>
      </c>
      <c r="F572" s="19"/>
      <c r="G572" s="4">
        <f>IF(F572&gt;0,F572,IF(PrefetchDBSummary!$C$10="B",AJ572,8))</f>
        <v>8</v>
      </c>
      <c r="H572" s="4">
        <f>PrefetchDBSummary!$C$56</f>
        <v>0</v>
      </c>
      <c r="I572" s="4">
        <f>PrefetchDBSummary!$D$56</f>
        <v>0</v>
      </c>
      <c r="J572" s="5">
        <f t="shared" si="95"/>
        <v>0</v>
      </c>
      <c r="K572" s="4">
        <f t="shared" si="96"/>
        <v>0</v>
      </c>
      <c r="L572" s="4">
        <f t="shared" si="97"/>
        <v>0</v>
      </c>
      <c r="M572" s="5">
        <f t="shared" si="98"/>
        <v>0</v>
      </c>
      <c r="N572" s="17">
        <f t="shared" si="100"/>
        <v>0</v>
      </c>
      <c r="O572" s="32">
        <f t="shared" si="101"/>
        <v>0</v>
      </c>
      <c r="AG572" t="s">
        <v>520</v>
      </c>
      <c r="AH572" t="s">
        <v>583</v>
      </c>
      <c r="AI572">
        <v>8</v>
      </c>
      <c r="AJ572">
        <v>14</v>
      </c>
      <c r="AK572">
        <v>9</v>
      </c>
      <c r="AL572">
        <v>0</v>
      </c>
      <c r="AM572">
        <v>237</v>
      </c>
      <c r="AN572">
        <v>237</v>
      </c>
      <c r="AO572">
        <v>193</v>
      </c>
      <c r="AQ572" s="27">
        <f t="shared" si="99"/>
        <v>3305</v>
      </c>
    </row>
    <row r="573" spans="1:43" ht="12.75">
      <c r="A573" s="1" t="s">
        <v>563</v>
      </c>
      <c r="B573" s="7" t="s">
        <v>2034</v>
      </c>
      <c r="C573" t="s">
        <v>521</v>
      </c>
      <c r="D573" s="19">
        <v>3</v>
      </c>
      <c r="E573" s="7" t="s">
        <v>829</v>
      </c>
      <c r="F573" s="19"/>
      <c r="G573" s="4">
        <f>IF(F573&gt;0,F573,IF(PrefetchDBSummary!$C$10="B",AJ573,8))</f>
        <v>8</v>
      </c>
      <c r="H573" s="4">
        <f>PrefetchDBSummary!$C$56</f>
        <v>0</v>
      </c>
      <c r="I573" s="4">
        <f>PrefetchDBSummary!$D$56</f>
        <v>0</v>
      </c>
      <c r="J573" s="5">
        <f t="shared" si="95"/>
        <v>0</v>
      </c>
      <c r="K573" s="4">
        <f t="shared" si="96"/>
        <v>0</v>
      </c>
      <c r="L573" s="4">
        <f t="shared" si="97"/>
        <v>0</v>
      </c>
      <c r="M573" s="5">
        <f t="shared" si="98"/>
        <v>0</v>
      </c>
      <c r="N573" s="17">
        <f t="shared" si="100"/>
        <v>0</v>
      </c>
      <c r="O573" s="32">
        <f t="shared" si="101"/>
        <v>0</v>
      </c>
      <c r="AG573" t="s">
        <v>522</v>
      </c>
      <c r="AH573" t="s">
        <v>583</v>
      </c>
      <c r="AI573">
        <v>8</v>
      </c>
      <c r="AJ573">
        <v>14</v>
      </c>
      <c r="AK573">
        <v>9</v>
      </c>
      <c r="AL573">
        <v>0</v>
      </c>
      <c r="AM573">
        <v>237</v>
      </c>
      <c r="AN573">
        <v>237</v>
      </c>
      <c r="AO573">
        <v>193</v>
      </c>
      <c r="AQ573" s="27">
        <f t="shared" si="99"/>
        <v>853.5999999999999</v>
      </c>
    </row>
    <row r="574" spans="1:43" ht="12.75">
      <c r="A574" s="1" t="s">
        <v>563</v>
      </c>
      <c r="B574" s="7" t="s">
        <v>2034</v>
      </c>
      <c r="C574" t="s">
        <v>523</v>
      </c>
      <c r="D574" s="19">
        <v>1</v>
      </c>
      <c r="E574" s="7" t="s">
        <v>830</v>
      </c>
      <c r="F574" s="19"/>
      <c r="G574" s="4">
        <f>IF(F574&gt;0,F574,IF(PrefetchDBSummary!$C$10="B",AJ574,8))</f>
        <v>8</v>
      </c>
      <c r="H574" s="4">
        <f>PrefetchDBSummary!$C$56</f>
        <v>0</v>
      </c>
      <c r="I574" s="4">
        <f>PrefetchDBSummary!$D$56</f>
        <v>0</v>
      </c>
      <c r="J574" s="5">
        <f t="shared" si="95"/>
        <v>0</v>
      </c>
      <c r="K574" s="4">
        <f t="shared" si="96"/>
        <v>0</v>
      </c>
      <c r="L574" s="4">
        <f t="shared" si="97"/>
        <v>0</v>
      </c>
      <c r="M574" s="5">
        <f t="shared" si="98"/>
        <v>0</v>
      </c>
      <c r="N574" s="17">
        <f t="shared" si="100"/>
        <v>0</v>
      </c>
      <c r="O574" s="32">
        <f t="shared" si="101"/>
        <v>0</v>
      </c>
      <c r="AG574" t="s">
        <v>524</v>
      </c>
      <c r="AH574" t="s">
        <v>583</v>
      </c>
      <c r="AI574">
        <v>8</v>
      </c>
      <c r="AJ574">
        <v>14</v>
      </c>
      <c r="AK574">
        <v>5</v>
      </c>
      <c r="AL574">
        <v>0</v>
      </c>
      <c r="AM574">
        <v>108</v>
      </c>
      <c r="AN574">
        <v>108</v>
      </c>
      <c r="AO574">
        <v>88</v>
      </c>
      <c r="AQ574" s="27">
        <f t="shared" si="99"/>
        <v>423.2</v>
      </c>
    </row>
    <row r="575" spans="1:43" ht="12.75">
      <c r="A575" s="1" t="s">
        <v>564</v>
      </c>
      <c r="B575" s="7" t="s">
        <v>263</v>
      </c>
      <c r="C575" t="s">
        <v>15</v>
      </c>
      <c r="D575" s="19">
        <v>1</v>
      </c>
      <c r="E575" s="7" t="s">
        <v>728</v>
      </c>
      <c r="F575" s="19"/>
      <c r="G575" s="4">
        <f>IF(F575&gt;0,F575,IF(PrefetchDBSummary!$C$10="B",AJ575,8))</f>
        <v>8</v>
      </c>
      <c r="H575" s="4">
        <f>PrefetchDBSummary!$C$40</f>
        <v>0</v>
      </c>
      <c r="I575" s="4">
        <f>PrefetchDBSummary!$D$40</f>
        <v>0</v>
      </c>
      <c r="J575" s="5">
        <f aca="true" t="shared" si="102" ref="J575:J638">IF(H575&gt;0,(AQ575)/(AI575*60),IF(I575&gt;0,(AQ575)/(5*60),0))</f>
        <v>0</v>
      </c>
      <c r="K575" s="4">
        <f aca="true" t="shared" si="103" ref="K575:K638">IF(H575&gt;0,D575/AI575,IF(I575&gt;0,D575/5,0))</f>
        <v>0</v>
      </c>
      <c r="L575" s="4">
        <f aca="true" t="shared" si="104" ref="L575:L638">H575*D575/AI575+I575*D575/5</f>
        <v>0</v>
      </c>
      <c r="M575" s="5">
        <f aca="true" t="shared" si="105" ref="M575:M638">L575*AM575*(1-IF(AP575&gt;0,AP575,$AS$2)*$AS$3)/1024</f>
        <v>0</v>
      </c>
      <c r="N575" s="17">
        <f t="shared" si="100"/>
        <v>0</v>
      </c>
      <c r="O575" s="32">
        <f t="shared" si="101"/>
        <v>0</v>
      </c>
      <c r="AG575" t="s">
        <v>16</v>
      </c>
      <c r="AH575" t="s">
        <v>583</v>
      </c>
      <c r="AI575">
        <v>60</v>
      </c>
      <c r="AJ575">
        <v>8</v>
      </c>
      <c r="AK575">
        <v>5</v>
      </c>
      <c r="AL575">
        <v>1</v>
      </c>
      <c r="AM575">
        <v>172</v>
      </c>
      <c r="AN575">
        <v>215</v>
      </c>
      <c r="AO575">
        <v>160</v>
      </c>
      <c r="AP575" s="44">
        <v>0.625</v>
      </c>
      <c r="AQ575" s="27">
        <f t="shared" si="99"/>
        <v>440</v>
      </c>
    </row>
    <row r="576" spans="1:43" ht="12.75">
      <c r="A576" s="1" t="s">
        <v>564</v>
      </c>
      <c r="B576" s="7" t="s">
        <v>263</v>
      </c>
      <c r="C576" t="s">
        <v>1819</v>
      </c>
      <c r="D576" s="19">
        <v>1</v>
      </c>
      <c r="E576" s="7" t="s">
        <v>738</v>
      </c>
      <c r="F576" s="19"/>
      <c r="G576" s="4">
        <f>IF(F576&gt;0,F576,IF(PrefetchDBSummary!$C$10="B",AJ576,8))</f>
        <v>8</v>
      </c>
      <c r="H576" s="4">
        <f>PrefetchDBSummary!$C$40</f>
        <v>0</v>
      </c>
      <c r="I576" s="4">
        <f>PrefetchDBSummary!$D$40</f>
        <v>0</v>
      </c>
      <c r="J576" s="5">
        <f t="shared" si="102"/>
        <v>0</v>
      </c>
      <c r="K576" s="4">
        <f t="shared" si="103"/>
        <v>0</v>
      </c>
      <c r="L576" s="4">
        <f t="shared" si="104"/>
        <v>0</v>
      </c>
      <c r="M576" s="5">
        <f t="shared" si="105"/>
        <v>0</v>
      </c>
      <c r="N576" s="17">
        <f t="shared" si="100"/>
        <v>0</v>
      </c>
      <c r="O576" s="32">
        <f t="shared" si="101"/>
        <v>0</v>
      </c>
      <c r="AG576" t="s">
        <v>1763</v>
      </c>
      <c r="AH576" t="s">
        <v>583</v>
      </c>
      <c r="AI576">
        <v>1</v>
      </c>
      <c r="AJ576">
        <v>8</v>
      </c>
      <c r="AK576">
        <v>2</v>
      </c>
      <c r="AL576">
        <v>0</v>
      </c>
      <c r="AM576">
        <v>98</v>
      </c>
      <c r="AN576">
        <v>98</v>
      </c>
      <c r="AO576">
        <v>96</v>
      </c>
      <c r="AP576" s="44">
        <v>0.4642857142857143</v>
      </c>
      <c r="AQ576" s="27">
        <f aca="true" t="shared" si="106" ref="AQ576:AQ639">250+19*AK576+D576*(23+(AM576-AO576)+AO576*(1-IF(AP576&gt;0,AP576,$AS$2)))</f>
        <v>364.42857142857144</v>
      </c>
    </row>
    <row r="577" spans="1:43" ht="12.75">
      <c r="A577" s="1" t="s">
        <v>564</v>
      </c>
      <c r="B577" s="7" t="s">
        <v>263</v>
      </c>
      <c r="C577" t="s">
        <v>19</v>
      </c>
      <c r="D577" s="19">
        <v>330</v>
      </c>
      <c r="E577" s="7" t="s">
        <v>831</v>
      </c>
      <c r="F577" s="19"/>
      <c r="G577" s="4">
        <f>IF(F577&gt;0,F577,IF(PrefetchDBSummary!$C$10="B",AJ577,8))</f>
        <v>8</v>
      </c>
      <c r="H577" s="4">
        <f>PrefetchDBSummary!$C$40</f>
        <v>0</v>
      </c>
      <c r="I577" s="4">
        <f>PrefetchDBSummary!$D$40</f>
        <v>0</v>
      </c>
      <c r="J577" s="5">
        <f t="shared" si="102"/>
        <v>0</v>
      </c>
      <c r="K577" s="4">
        <f t="shared" si="103"/>
        <v>0</v>
      </c>
      <c r="L577" s="4">
        <f t="shared" si="104"/>
        <v>0</v>
      </c>
      <c r="M577" s="5">
        <f t="shared" si="105"/>
        <v>0</v>
      </c>
      <c r="N577" s="17">
        <f t="shared" si="100"/>
        <v>0</v>
      </c>
      <c r="O577" s="32">
        <f t="shared" si="101"/>
        <v>0</v>
      </c>
      <c r="AG577" t="s">
        <v>20</v>
      </c>
      <c r="AH577" t="s">
        <v>583</v>
      </c>
      <c r="AI577">
        <v>5</v>
      </c>
      <c r="AJ577">
        <v>8</v>
      </c>
      <c r="AK577">
        <v>3</v>
      </c>
      <c r="AL577">
        <v>1</v>
      </c>
      <c r="AM577">
        <v>107</v>
      </c>
      <c r="AN577">
        <v>150</v>
      </c>
      <c r="AO577">
        <v>96</v>
      </c>
      <c r="AP577" s="44">
        <v>0.5162514318442153</v>
      </c>
      <c r="AQ577" s="27">
        <f t="shared" si="106"/>
        <v>26852.154639175256</v>
      </c>
    </row>
    <row r="578" spans="1:43" ht="12.75">
      <c r="A578" s="1" t="s">
        <v>564</v>
      </c>
      <c r="B578" s="7" t="s">
        <v>263</v>
      </c>
      <c r="C578" t="s">
        <v>17</v>
      </c>
      <c r="D578" s="19">
        <v>2</v>
      </c>
      <c r="E578" s="7" t="s">
        <v>832</v>
      </c>
      <c r="F578" s="19"/>
      <c r="G578" s="4">
        <f>IF(F578&gt;0,F578,IF(PrefetchDBSummary!$C$10="B",AJ578,8))</f>
        <v>8</v>
      </c>
      <c r="H578" s="4">
        <f>PrefetchDBSummary!$C$40</f>
        <v>0</v>
      </c>
      <c r="I578" s="4">
        <f>PrefetchDBSummary!$D$40</f>
        <v>0</v>
      </c>
      <c r="J578" s="5">
        <f t="shared" si="102"/>
        <v>0</v>
      </c>
      <c r="K578" s="4">
        <f t="shared" si="103"/>
        <v>0</v>
      </c>
      <c r="L578" s="4">
        <f t="shared" si="104"/>
        <v>0</v>
      </c>
      <c r="M578" s="5">
        <f t="shared" si="105"/>
        <v>0</v>
      </c>
      <c r="N578" s="17">
        <f t="shared" si="100"/>
        <v>0</v>
      </c>
      <c r="O578" s="32">
        <f t="shared" si="101"/>
        <v>0</v>
      </c>
      <c r="AG578" t="s">
        <v>18</v>
      </c>
      <c r="AH578" t="s">
        <v>583</v>
      </c>
      <c r="AI578">
        <v>60</v>
      </c>
      <c r="AJ578">
        <v>8</v>
      </c>
      <c r="AK578">
        <v>3</v>
      </c>
      <c r="AL578">
        <v>0</v>
      </c>
      <c r="AM578">
        <v>611</v>
      </c>
      <c r="AN578">
        <v>611</v>
      </c>
      <c r="AO578">
        <v>608</v>
      </c>
      <c r="AP578" s="44">
        <v>0.907483552631579</v>
      </c>
      <c r="AQ578" s="27">
        <f t="shared" si="106"/>
        <v>471.49999999999994</v>
      </c>
    </row>
    <row r="579" spans="1:43" ht="12.75">
      <c r="A579" s="1" t="s">
        <v>564</v>
      </c>
      <c r="B579" s="7" t="s">
        <v>263</v>
      </c>
      <c r="C579" t="s">
        <v>21</v>
      </c>
      <c r="D579" s="19">
        <v>1</v>
      </c>
      <c r="E579" s="7" t="s">
        <v>728</v>
      </c>
      <c r="F579" s="19"/>
      <c r="G579" s="4">
        <f>IF(F579&gt;0,F579,IF(PrefetchDBSummary!$C$10="B",AJ579,8))</f>
        <v>8</v>
      </c>
      <c r="H579" s="4">
        <f>PrefetchDBSummary!$C$40</f>
        <v>0</v>
      </c>
      <c r="I579" s="4">
        <f>PrefetchDBSummary!$D$40</f>
        <v>0</v>
      </c>
      <c r="J579" s="5">
        <f t="shared" si="102"/>
        <v>0</v>
      </c>
      <c r="K579" s="4">
        <f t="shared" si="103"/>
        <v>0</v>
      </c>
      <c r="L579" s="4">
        <f t="shared" si="104"/>
        <v>0</v>
      </c>
      <c r="M579" s="5">
        <f t="shared" si="105"/>
        <v>0</v>
      </c>
      <c r="N579" s="17">
        <f t="shared" si="100"/>
        <v>0</v>
      </c>
      <c r="O579" s="32">
        <f t="shared" si="101"/>
        <v>0</v>
      </c>
      <c r="AG579" t="s">
        <v>22</v>
      </c>
      <c r="AH579" t="s">
        <v>583</v>
      </c>
      <c r="AI579">
        <v>1</v>
      </c>
      <c r="AJ579">
        <v>32</v>
      </c>
      <c r="AK579">
        <v>8</v>
      </c>
      <c r="AL579">
        <v>6</v>
      </c>
      <c r="AM579">
        <v>152</v>
      </c>
      <c r="AN579">
        <v>458</v>
      </c>
      <c r="AO579">
        <v>32</v>
      </c>
      <c r="AP579" s="44"/>
      <c r="AQ579" s="27">
        <f t="shared" si="106"/>
        <v>557.8</v>
      </c>
    </row>
    <row r="580" spans="1:43" ht="12.75">
      <c r="A580" s="26" t="s">
        <v>1820</v>
      </c>
      <c r="B580" s="7" t="s">
        <v>1821</v>
      </c>
      <c r="C580" t="s">
        <v>1822</v>
      </c>
      <c r="D580" s="19">
        <v>1</v>
      </c>
      <c r="E580" s="7" t="s">
        <v>710</v>
      </c>
      <c r="F580" s="19"/>
      <c r="G580" s="4">
        <f>IF(F580&gt;0,F580,IF(PrefetchDBSummary!$C$10="B",AJ580,8))</f>
        <v>8</v>
      </c>
      <c r="H580" s="4">
        <f>PrefetchDBSummary!$C$49</f>
        <v>0</v>
      </c>
      <c r="I580" s="4">
        <f>PrefetchDBSummary!$D$49</f>
        <v>0</v>
      </c>
      <c r="J580" s="5">
        <f t="shared" si="102"/>
        <v>0</v>
      </c>
      <c r="K580" s="4">
        <f t="shared" si="103"/>
        <v>0</v>
      </c>
      <c r="L580" s="4">
        <f t="shared" si="104"/>
        <v>0</v>
      </c>
      <c r="M580" s="5">
        <f t="shared" si="105"/>
        <v>0</v>
      </c>
      <c r="N580" s="17">
        <f t="shared" si="100"/>
        <v>0</v>
      </c>
      <c r="O580" s="32">
        <f t="shared" si="101"/>
        <v>0</v>
      </c>
      <c r="AG580" t="s">
        <v>1837</v>
      </c>
      <c r="AH580" t="s">
        <v>583</v>
      </c>
      <c r="AI580">
        <v>5</v>
      </c>
      <c r="AJ580">
        <v>8</v>
      </c>
      <c r="AK580">
        <v>8</v>
      </c>
      <c r="AL580">
        <v>3</v>
      </c>
      <c r="AM580">
        <v>312</v>
      </c>
      <c r="AN580">
        <v>433</v>
      </c>
      <c r="AO580">
        <v>288</v>
      </c>
      <c r="AP580" s="44"/>
      <c r="AQ580" s="27">
        <f t="shared" si="106"/>
        <v>564.2</v>
      </c>
    </row>
    <row r="581" spans="1:43" ht="12.75">
      <c r="A581" s="26" t="s">
        <v>1820</v>
      </c>
      <c r="B581" s="7" t="s">
        <v>1821</v>
      </c>
      <c r="C581" t="s">
        <v>1823</v>
      </c>
      <c r="D581" s="19">
        <v>24</v>
      </c>
      <c r="E581" s="7" t="s">
        <v>1955</v>
      </c>
      <c r="F581" s="19"/>
      <c r="G581" s="4">
        <f>IF(F581&gt;0,F581,IF(PrefetchDBSummary!$C$10="B",AJ581,8))</f>
        <v>8</v>
      </c>
      <c r="H581" s="4">
        <f>PrefetchDBSummary!$C$49</f>
        <v>0</v>
      </c>
      <c r="I581" s="4">
        <f>PrefetchDBSummary!$D$49</f>
        <v>0</v>
      </c>
      <c r="J581" s="5">
        <f t="shared" si="102"/>
        <v>0</v>
      </c>
      <c r="K581" s="4">
        <f t="shared" si="103"/>
        <v>0</v>
      </c>
      <c r="L581" s="4">
        <f t="shared" si="104"/>
        <v>0</v>
      </c>
      <c r="M581" s="5">
        <f t="shared" si="105"/>
        <v>0</v>
      </c>
      <c r="N581" s="17">
        <f t="shared" si="100"/>
        <v>0</v>
      </c>
      <c r="O581" s="32">
        <f t="shared" si="101"/>
        <v>0</v>
      </c>
      <c r="AG581" t="s">
        <v>1838</v>
      </c>
      <c r="AH581" t="s">
        <v>583</v>
      </c>
      <c r="AI581">
        <v>5</v>
      </c>
      <c r="AJ581">
        <v>8</v>
      </c>
      <c r="AK581">
        <v>12</v>
      </c>
      <c r="AL581">
        <v>4</v>
      </c>
      <c r="AM581">
        <v>476</v>
      </c>
      <c r="AN581">
        <v>644</v>
      </c>
      <c r="AO581">
        <v>416</v>
      </c>
      <c r="AP581" s="44"/>
      <c r="AQ581" s="27">
        <f t="shared" si="106"/>
        <v>6463.6</v>
      </c>
    </row>
    <row r="582" spans="1:43" ht="12.75">
      <c r="A582" s="26" t="s">
        <v>1820</v>
      </c>
      <c r="B582" s="7" t="s">
        <v>1821</v>
      </c>
      <c r="C582" t="s">
        <v>1824</v>
      </c>
      <c r="D582" s="19">
        <v>12</v>
      </c>
      <c r="E582" s="7" t="s">
        <v>1956</v>
      </c>
      <c r="F582" s="19"/>
      <c r="G582" s="4">
        <f>IF(F582&gt;0,F582,IF(PrefetchDBSummary!$C$10="B",AJ582,8))</f>
        <v>8</v>
      </c>
      <c r="H582" s="4">
        <f>PrefetchDBSummary!$C$49</f>
        <v>0</v>
      </c>
      <c r="I582" s="4">
        <f>PrefetchDBSummary!$D$49</f>
        <v>0</v>
      </c>
      <c r="J582" s="5">
        <f t="shared" si="102"/>
        <v>0</v>
      </c>
      <c r="K582" s="4">
        <f t="shared" si="103"/>
        <v>0</v>
      </c>
      <c r="L582" s="4">
        <f t="shared" si="104"/>
        <v>0</v>
      </c>
      <c r="M582" s="5">
        <f t="shared" si="105"/>
        <v>0</v>
      </c>
      <c r="N582" s="17">
        <f t="shared" si="100"/>
        <v>0</v>
      </c>
      <c r="O582" s="32">
        <f t="shared" si="101"/>
        <v>0</v>
      </c>
      <c r="AG582" t="s">
        <v>1839</v>
      </c>
      <c r="AH582" t="s">
        <v>583</v>
      </c>
      <c r="AI582">
        <v>5</v>
      </c>
      <c r="AJ582">
        <v>8</v>
      </c>
      <c r="AK582">
        <v>5</v>
      </c>
      <c r="AL582">
        <v>2</v>
      </c>
      <c r="AM582">
        <v>141</v>
      </c>
      <c r="AN582">
        <v>219</v>
      </c>
      <c r="AO582">
        <v>128</v>
      </c>
      <c r="AP582" s="44"/>
      <c r="AQ582" s="27">
        <f t="shared" si="106"/>
        <v>1391.4</v>
      </c>
    </row>
    <row r="583" spans="1:43" ht="12.75">
      <c r="A583" s="26" t="s">
        <v>1820</v>
      </c>
      <c r="B583" s="7" t="s">
        <v>1821</v>
      </c>
      <c r="C583" t="s">
        <v>1825</v>
      </c>
      <c r="D583" s="19">
        <v>1</v>
      </c>
      <c r="E583" s="7" t="s">
        <v>710</v>
      </c>
      <c r="F583" s="19"/>
      <c r="G583" s="4">
        <f>IF(F583&gt;0,F583,IF(PrefetchDBSummary!$C$10="B",AJ583,8))</f>
        <v>8</v>
      </c>
      <c r="H583" s="4">
        <f>PrefetchDBSummary!$C$49</f>
        <v>0</v>
      </c>
      <c r="I583" s="4">
        <f>PrefetchDBSummary!$D$49</f>
        <v>0</v>
      </c>
      <c r="J583" s="5">
        <f t="shared" si="102"/>
        <v>0</v>
      </c>
      <c r="K583" s="4">
        <f t="shared" si="103"/>
        <v>0</v>
      </c>
      <c r="L583" s="4">
        <f t="shared" si="104"/>
        <v>0</v>
      </c>
      <c r="M583" s="5">
        <f t="shared" si="105"/>
        <v>0</v>
      </c>
      <c r="N583" s="17">
        <f t="shared" si="100"/>
        <v>0</v>
      </c>
      <c r="O583" s="32">
        <f t="shared" si="101"/>
        <v>0</v>
      </c>
      <c r="AG583" t="s">
        <v>1840</v>
      </c>
      <c r="AH583" t="s">
        <v>583</v>
      </c>
      <c r="AI583">
        <v>5</v>
      </c>
      <c r="AJ583">
        <v>32</v>
      </c>
      <c r="AK583">
        <v>23</v>
      </c>
      <c r="AL583">
        <v>19</v>
      </c>
      <c r="AM583">
        <v>275</v>
      </c>
      <c r="AN583">
        <v>1016</v>
      </c>
      <c r="AO583">
        <v>160</v>
      </c>
      <c r="AP583" s="44"/>
      <c r="AQ583" s="27">
        <f t="shared" si="106"/>
        <v>889</v>
      </c>
    </row>
    <row r="584" spans="1:43" ht="12.75">
      <c r="A584" s="26" t="s">
        <v>1820</v>
      </c>
      <c r="B584" s="7" t="s">
        <v>1821</v>
      </c>
      <c r="C584" t="s">
        <v>1826</v>
      </c>
      <c r="D584" s="19">
        <v>24</v>
      </c>
      <c r="E584" s="7" t="s">
        <v>1957</v>
      </c>
      <c r="F584" s="19"/>
      <c r="G584" s="4">
        <f>IF(F584&gt;0,F584,IF(PrefetchDBSummary!$C$10="B",AJ584,8))</f>
        <v>8</v>
      </c>
      <c r="H584" s="4">
        <f>PrefetchDBSummary!$C$49</f>
        <v>0</v>
      </c>
      <c r="I584" s="4">
        <f>PrefetchDBSummary!$D$49</f>
        <v>0</v>
      </c>
      <c r="J584" s="5">
        <f t="shared" si="102"/>
        <v>0</v>
      </c>
      <c r="K584" s="4">
        <f t="shared" si="103"/>
        <v>0</v>
      </c>
      <c r="L584" s="4">
        <f t="shared" si="104"/>
        <v>0</v>
      </c>
      <c r="M584" s="5">
        <f t="shared" si="105"/>
        <v>0</v>
      </c>
      <c r="N584" s="17">
        <f t="shared" si="100"/>
        <v>0</v>
      </c>
      <c r="O584" s="32">
        <f t="shared" si="101"/>
        <v>0</v>
      </c>
      <c r="AG584" t="s">
        <v>1841</v>
      </c>
      <c r="AH584" t="s">
        <v>583</v>
      </c>
      <c r="AI584">
        <v>5</v>
      </c>
      <c r="AJ584">
        <v>8</v>
      </c>
      <c r="AK584">
        <v>12</v>
      </c>
      <c r="AL584">
        <v>6</v>
      </c>
      <c r="AM584">
        <v>388</v>
      </c>
      <c r="AN584">
        <v>622</v>
      </c>
      <c r="AO584">
        <v>352</v>
      </c>
      <c r="AP584" s="44"/>
      <c r="AQ584" s="27">
        <f t="shared" si="106"/>
        <v>5273.200000000001</v>
      </c>
    </row>
    <row r="585" spans="1:43" ht="12.75">
      <c r="A585" s="26" t="s">
        <v>1820</v>
      </c>
      <c r="B585" s="7" t="s">
        <v>1821</v>
      </c>
      <c r="C585" t="s">
        <v>1827</v>
      </c>
      <c r="D585" s="19">
        <v>12</v>
      </c>
      <c r="E585" s="7" t="s">
        <v>1303</v>
      </c>
      <c r="F585" s="19"/>
      <c r="G585" s="4">
        <f>IF(F585&gt;0,F585,IF(PrefetchDBSummary!$C$10="B",AJ585,8))</f>
        <v>8</v>
      </c>
      <c r="H585" s="4">
        <f>PrefetchDBSummary!$C$49</f>
        <v>0</v>
      </c>
      <c r="I585" s="4">
        <f>PrefetchDBSummary!$D$49</f>
        <v>0</v>
      </c>
      <c r="J585" s="5">
        <f t="shared" si="102"/>
        <v>0</v>
      </c>
      <c r="K585" s="4">
        <f t="shared" si="103"/>
        <v>0</v>
      </c>
      <c r="L585" s="4">
        <f t="shared" si="104"/>
        <v>0</v>
      </c>
      <c r="M585" s="5">
        <f t="shared" si="105"/>
        <v>0</v>
      </c>
      <c r="N585" s="17">
        <f t="shared" si="100"/>
        <v>0</v>
      </c>
      <c r="O585" s="32">
        <f t="shared" si="101"/>
        <v>0</v>
      </c>
      <c r="AG585" t="s">
        <v>1842</v>
      </c>
      <c r="AH585" t="s">
        <v>583</v>
      </c>
      <c r="AI585">
        <v>5</v>
      </c>
      <c r="AJ585">
        <v>8</v>
      </c>
      <c r="AK585">
        <v>24</v>
      </c>
      <c r="AL585">
        <v>7</v>
      </c>
      <c r="AM585">
        <v>968</v>
      </c>
      <c r="AN585">
        <v>1277</v>
      </c>
      <c r="AO585">
        <v>864</v>
      </c>
      <c r="AP585" s="44"/>
      <c r="AQ585" s="27">
        <f t="shared" si="106"/>
        <v>6377.200000000001</v>
      </c>
    </row>
    <row r="586" spans="1:43" ht="12.75">
      <c r="A586" s="26" t="s">
        <v>1820</v>
      </c>
      <c r="B586" s="7" t="s">
        <v>1821</v>
      </c>
      <c r="C586" t="s">
        <v>1828</v>
      </c>
      <c r="D586" s="19">
        <v>30</v>
      </c>
      <c r="E586" s="7" t="s">
        <v>1963</v>
      </c>
      <c r="F586" s="19"/>
      <c r="G586" s="4">
        <f>IF(F586&gt;0,F586,IF(PrefetchDBSummary!$C$10="B",AJ586,8))</f>
        <v>8</v>
      </c>
      <c r="H586" s="4">
        <f>PrefetchDBSummary!$C$49</f>
        <v>0</v>
      </c>
      <c r="I586" s="4">
        <f>PrefetchDBSummary!$D$49</f>
        <v>0</v>
      </c>
      <c r="J586" s="5">
        <f t="shared" si="102"/>
        <v>0</v>
      </c>
      <c r="K586" s="4">
        <f t="shared" si="103"/>
        <v>0</v>
      </c>
      <c r="L586" s="4">
        <f t="shared" si="104"/>
        <v>0</v>
      </c>
      <c r="M586" s="5">
        <f t="shared" si="105"/>
        <v>0</v>
      </c>
      <c r="N586" s="17">
        <f t="shared" si="100"/>
        <v>0</v>
      </c>
      <c r="O586" s="32">
        <f t="shared" si="101"/>
        <v>0</v>
      </c>
      <c r="AG586" t="s">
        <v>1843</v>
      </c>
      <c r="AH586" t="s">
        <v>583</v>
      </c>
      <c r="AI586">
        <v>5</v>
      </c>
      <c r="AJ586">
        <v>8</v>
      </c>
      <c r="AK586">
        <v>14</v>
      </c>
      <c r="AL586">
        <v>1</v>
      </c>
      <c r="AM586">
        <v>830</v>
      </c>
      <c r="AN586">
        <v>881</v>
      </c>
      <c r="AO586">
        <v>800</v>
      </c>
      <c r="AP586" s="44"/>
      <c r="AQ586" s="27">
        <f t="shared" si="106"/>
        <v>11706</v>
      </c>
    </row>
    <row r="587" spans="1:43" ht="12.75">
      <c r="A587" s="26" t="s">
        <v>1820</v>
      </c>
      <c r="B587" s="7" t="s">
        <v>1821</v>
      </c>
      <c r="C587" t="s">
        <v>1829</v>
      </c>
      <c r="D587" s="19">
        <v>5</v>
      </c>
      <c r="E587" s="7" t="s">
        <v>1958</v>
      </c>
      <c r="F587" s="19"/>
      <c r="G587" s="4">
        <f>IF(F587&gt;0,F587,IF(PrefetchDBSummary!$C$10="B",AJ587,8))</f>
        <v>8</v>
      </c>
      <c r="H587" s="4">
        <f>PrefetchDBSummary!$C$49</f>
        <v>0</v>
      </c>
      <c r="I587" s="4">
        <f>PrefetchDBSummary!$D$49</f>
        <v>0</v>
      </c>
      <c r="J587" s="5">
        <f t="shared" si="102"/>
        <v>0</v>
      </c>
      <c r="K587" s="4">
        <f t="shared" si="103"/>
        <v>0</v>
      </c>
      <c r="L587" s="4">
        <f t="shared" si="104"/>
        <v>0</v>
      </c>
      <c r="M587" s="5">
        <f t="shared" si="105"/>
        <v>0</v>
      </c>
      <c r="N587" s="17">
        <f t="shared" si="100"/>
        <v>0</v>
      </c>
      <c r="O587" s="32">
        <f t="shared" si="101"/>
        <v>0</v>
      </c>
      <c r="AG587" t="s">
        <v>1844</v>
      </c>
      <c r="AH587" t="s">
        <v>583</v>
      </c>
      <c r="AI587">
        <v>5</v>
      </c>
      <c r="AJ587">
        <v>8</v>
      </c>
      <c r="AK587">
        <v>8</v>
      </c>
      <c r="AL587">
        <v>2</v>
      </c>
      <c r="AM587">
        <v>372</v>
      </c>
      <c r="AN587">
        <v>454</v>
      </c>
      <c r="AO587">
        <v>352</v>
      </c>
      <c r="AP587" s="44"/>
      <c r="AQ587" s="27">
        <f t="shared" si="106"/>
        <v>1321</v>
      </c>
    </row>
    <row r="588" spans="1:43" ht="12.75">
      <c r="A588" s="26" t="s">
        <v>1820</v>
      </c>
      <c r="B588" s="7" t="s">
        <v>1821</v>
      </c>
      <c r="C588" t="s">
        <v>1830</v>
      </c>
      <c r="D588" s="19">
        <v>0</v>
      </c>
      <c r="E588" s="7"/>
      <c r="F588" s="19"/>
      <c r="G588" s="4">
        <f>IF(F588&gt;0,F588,IF(PrefetchDBSummary!$C$10="B",AJ588,8))</f>
        <v>8</v>
      </c>
      <c r="H588" s="4">
        <f>PrefetchDBSummary!$C$49</f>
        <v>0</v>
      </c>
      <c r="I588" s="4">
        <f>PrefetchDBSummary!$D$49</f>
        <v>0</v>
      </c>
      <c r="J588" s="5">
        <f t="shared" si="102"/>
        <v>0</v>
      </c>
      <c r="K588" s="4">
        <f t="shared" si="103"/>
        <v>0</v>
      </c>
      <c r="L588" s="4">
        <f t="shared" si="104"/>
        <v>0</v>
      </c>
      <c r="M588" s="5">
        <f t="shared" si="105"/>
        <v>0</v>
      </c>
      <c r="N588" s="17">
        <f t="shared" si="100"/>
        <v>0</v>
      </c>
      <c r="O588" s="32">
        <f t="shared" si="101"/>
        <v>0</v>
      </c>
      <c r="AG588" t="s">
        <v>1845</v>
      </c>
      <c r="AH588" t="s">
        <v>583</v>
      </c>
      <c r="AI588">
        <v>5</v>
      </c>
      <c r="AJ588">
        <v>8</v>
      </c>
      <c r="AK588">
        <v>8</v>
      </c>
      <c r="AL588">
        <v>1</v>
      </c>
      <c r="AM588">
        <v>496</v>
      </c>
      <c r="AN588">
        <v>539</v>
      </c>
      <c r="AO588">
        <v>480</v>
      </c>
      <c r="AP588" s="44"/>
      <c r="AQ588" s="27">
        <f t="shared" si="106"/>
        <v>402</v>
      </c>
    </row>
    <row r="589" spans="1:43" ht="12.75">
      <c r="A589" s="26" t="s">
        <v>1820</v>
      </c>
      <c r="B589" s="7" t="s">
        <v>1821</v>
      </c>
      <c r="C589" t="s">
        <v>1831</v>
      </c>
      <c r="D589" s="19">
        <v>100</v>
      </c>
      <c r="E589" s="7" t="s">
        <v>1959</v>
      </c>
      <c r="F589" s="19"/>
      <c r="G589" s="4">
        <f>IF(F589&gt;0,F589,IF(PrefetchDBSummary!$C$10="B",AJ589,8))</f>
        <v>8</v>
      </c>
      <c r="H589" s="4">
        <f>PrefetchDBSummary!$C$49</f>
        <v>0</v>
      </c>
      <c r="I589" s="4">
        <f>PrefetchDBSummary!$D$49</f>
        <v>0</v>
      </c>
      <c r="J589" s="5">
        <f t="shared" si="102"/>
        <v>0</v>
      </c>
      <c r="K589" s="4">
        <f t="shared" si="103"/>
        <v>0</v>
      </c>
      <c r="L589" s="4">
        <f t="shared" si="104"/>
        <v>0</v>
      </c>
      <c r="M589" s="5">
        <f t="shared" si="105"/>
        <v>0</v>
      </c>
      <c r="N589" s="17">
        <f t="shared" si="100"/>
        <v>0</v>
      </c>
      <c r="O589" s="32">
        <f t="shared" si="101"/>
        <v>0</v>
      </c>
      <c r="AG589" t="s">
        <v>1846</v>
      </c>
      <c r="AH589" t="s">
        <v>583</v>
      </c>
      <c r="AI589">
        <v>5</v>
      </c>
      <c r="AJ589">
        <v>8</v>
      </c>
      <c r="AK589">
        <v>13</v>
      </c>
      <c r="AL589">
        <v>0</v>
      </c>
      <c r="AM589">
        <v>489</v>
      </c>
      <c r="AN589">
        <v>489</v>
      </c>
      <c r="AO589">
        <v>416</v>
      </c>
      <c r="AP589" s="44"/>
      <c r="AQ589" s="27">
        <f t="shared" si="106"/>
        <v>26736.999999999996</v>
      </c>
    </row>
    <row r="590" spans="1:43" ht="12.75">
      <c r="A590" s="26" t="s">
        <v>1820</v>
      </c>
      <c r="B590" s="7" t="s">
        <v>1821</v>
      </c>
      <c r="C590" t="s">
        <v>1832</v>
      </c>
      <c r="D590" s="19">
        <v>12</v>
      </c>
      <c r="E590" s="7" t="s">
        <v>1956</v>
      </c>
      <c r="F590" s="19"/>
      <c r="G590" s="4">
        <f>IF(F590&gt;0,F590,IF(PrefetchDBSummary!$C$10="B",AJ590,8))</f>
        <v>8</v>
      </c>
      <c r="H590" s="4">
        <f>PrefetchDBSummary!$C$49</f>
        <v>0</v>
      </c>
      <c r="I590" s="4">
        <f>PrefetchDBSummary!$D$49</f>
        <v>0</v>
      </c>
      <c r="J590" s="5">
        <f t="shared" si="102"/>
        <v>0</v>
      </c>
      <c r="K590" s="4">
        <f t="shared" si="103"/>
        <v>0</v>
      </c>
      <c r="L590" s="4">
        <f t="shared" si="104"/>
        <v>0</v>
      </c>
      <c r="M590" s="5">
        <f t="shared" si="105"/>
        <v>0</v>
      </c>
      <c r="N590" s="17">
        <f t="shared" si="100"/>
        <v>0</v>
      </c>
      <c r="O590" s="32">
        <f t="shared" si="101"/>
        <v>0</v>
      </c>
      <c r="AG590" t="s">
        <v>1847</v>
      </c>
      <c r="AH590" t="s">
        <v>583</v>
      </c>
      <c r="AI590">
        <v>5</v>
      </c>
      <c r="AJ590">
        <v>8</v>
      </c>
      <c r="AK590">
        <v>4</v>
      </c>
      <c r="AL590">
        <v>0</v>
      </c>
      <c r="AM590">
        <v>168</v>
      </c>
      <c r="AN590">
        <v>168</v>
      </c>
      <c r="AO590">
        <v>160</v>
      </c>
      <c r="AP590" s="44"/>
      <c r="AQ590" s="27">
        <f t="shared" si="106"/>
        <v>1466</v>
      </c>
    </row>
    <row r="591" spans="1:43" ht="12.75">
      <c r="A591" s="26" t="s">
        <v>1820</v>
      </c>
      <c r="B591" s="7" t="s">
        <v>1821</v>
      </c>
      <c r="C591" t="s">
        <v>1833</v>
      </c>
      <c r="D591" s="19">
        <v>8</v>
      </c>
      <c r="E591" s="7" t="s">
        <v>1960</v>
      </c>
      <c r="F591" s="19"/>
      <c r="G591" s="4">
        <f>IF(F591&gt;0,F591,IF(PrefetchDBSummary!$C$10="B",AJ591,8))</f>
        <v>8</v>
      </c>
      <c r="H591" s="4">
        <f>PrefetchDBSummary!$C$49</f>
        <v>0</v>
      </c>
      <c r="I591" s="4">
        <f>PrefetchDBSummary!$D$49</f>
        <v>0</v>
      </c>
      <c r="J591" s="5">
        <f t="shared" si="102"/>
        <v>0</v>
      </c>
      <c r="K591" s="4">
        <f t="shared" si="103"/>
        <v>0</v>
      </c>
      <c r="L591" s="4">
        <f t="shared" si="104"/>
        <v>0</v>
      </c>
      <c r="M591" s="5">
        <f t="shared" si="105"/>
        <v>0</v>
      </c>
      <c r="N591" s="17">
        <f t="shared" si="100"/>
        <v>0</v>
      </c>
      <c r="O591" s="32">
        <f t="shared" si="101"/>
        <v>0</v>
      </c>
      <c r="AG591" t="s">
        <v>1848</v>
      </c>
      <c r="AH591" t="s">
        <v>583</v>
      </c>
      <c r="AI591">
        <v>5</v>
      </c>
      <c r="AJ591">
        <v>8</v>
      </c>
      <c r="AK591">
        <v>5</v>
      </c>
      <c r="AL591">
        <v>1</v>
      </c>
      <c r="AM591">
        <v>297</v>
      </c>
      <c r="AN591">
        <v>336</v>
      </c>
      <c r="AO591">
        <v>288</v>
      </c>
      <c r="AP591" s="44"/>
      <c r="AQ591" s="27">
        <f t="shared" si="106"/>
        <v>1522.6</v>
      </c>
    </row>
    <row r="592" spans="1:43" ht="12.75">
      <c r="A592" s="26" t="s">
        <v>1820</v>
      </c>
      <c r="B592" s="7" t="s">
        <v>1821</v>
      </c>
      <c r="C592" t="s">
        <v>1834</v>
      </c>
      <c r="D592" s="19">
        <v>2</v>
      </c>
      <c r="E592" s="7" t="s">
        <v>1961</v>
      </c>
      <c r="F592" s="19"/>
      <c r="G592" s="4">
        <f>IF(F592&gt;0,F592,IF(PrefetchDBSummary!$C$10="B",AJ592,8))</f>
        <v>8</v>
      </c>
      <c r="H592" s="4">
        <f>PrefetchDBSummary!$C$49</f>
        <v>0</v>
      </c>
      <c r="I592" s="4">
        <f>PrefetchDBSummary!$D$49</f>
        <v>0</v>
      </c>
      <c r="J592" s="5">
        <f t="shared" si="102"/>
        <v>0</v>
      </c>
      <c r="K592" s="4">
        <f t="shared" si="103"/>
        <v>0</v>
      </c>
      <c r="L592" s="4">
        <f t="shared" si="104"/>
        <v>0</v>
      </c>
      <c r="M592" s="5">
        <f t="shared" si="105"/>
        <v>0</v>
      </c>
      <c r="N592" s="17">
        <f t="shared" si="100"/>
        <v>0</v>
      </c>
      <c r="O592" s="32">
        <f t="shared" si="101"/>
        <v>0</v>
      </c>
      <c r="AG592" t="s">
        <v>1849</v>
      </c>
      <c r="AH592" t="s">
        <v>583</v>
      </c>
      <c r="AI592">
        <v>5</v>
      </c>
      <c r="AJ592">
        <v>32</v>
      </c>
      <c r="AK592">
        <v>17</v>
      </c>
      <c r="AL592">
        <v>9</v>
      </c>
      <c r="AM592">
        <v>393</v>
      </c>
      <c r="AN592">
        <v>780</v>
      </c>
      <c r="AO592">
        <v>288</v>
      </c>
      <c r="AP592" s="44"/>
      <c r="AQ592" s="27">
        <f t="shared" si="106"/>
        <v>1059.4</v>
      </c>
    </row>
    <row r="593" spans="1:43" ht="12.75">
      <c r="A593" s="26" t="s">
        <v>1820</v>
      </c>
      <c r="B593" s="7" t="s">
        <v>1821</v>
      </c>
      <c r="C593" t="s">
        <v>1835</v>
      </c>
      <c r="D593" s="4">
        <f>PrefetchDBSummary!$E$49</f>
        <v>200</v>
      </c>
      <c r="E593" s="7" t="s">
        <v>1962</v>
      </c>
      <c r="F593" s="19"/>
      <c r="G593" s="4">
        <f>IF(F593&gt;0,F593,IF(PrefetchDBSummary!$C$10="B",AJ593,8))</f>
        <v>8</v>
      </c>
      <c r="H593" s="4">
        <f>PrefetchDBSummary!$C$49</f>
        <v>0</v>
      </c>
      <c r="I593" s="4">
        <f>PrefetchDBSummary!$D$49</f>
        <v>0</v>
      </c>
      <c r="J593" s="5">
        <f t="shared" si="102"/>
        <v>0</v>
      </c>
      <c r="K593" s="4">
        <f t="shared" si="103"/>
        <v>0</v>
      </c>
      <c r="L593" s="4">
        <f t="shared" si="104"/>
        <v>0</v>
      </c>
      <c r="M593" s="5">
        <f t="shared" si="105"/>
        <v>0</v>
      </c>
      <c r="N593" s="17">
        <f t="shared" si="100"/>
        <v>0</v>
      </c>
      <c r="O593" s="32">
        <f t="shared" si="101"/>
        <v>0</v>
      </c>
      <c r="AG593" t="s">
        <v>1850</v>
      </c>
      <c r="AH593" t="s">
        <v>583</v>
      </c>
      <c r="AI593">
        <v>5</v>
      </c>
      <c r="AJ593">
        <v>8</v>
      </c>
      <c r="AK593">
        <v>24</v>
      </c>
      <c r="AL593">
        <v>0</v>
      </c>
      <c r="AM593">
        <v>1548</v>
      </c>
      <c r="AN593">
        <v>1548</v>
      </c>
      <c r="AO593">
        <v>1504</v>
      </c>
      <c r="AP593" s="44"/>
      <c r="AQ593" s="27">
        <f t="shared" si="106"/>
        <v>134426</v>
      </c>
    </row>
    <row r="594" spans="1:43" ht="12.75">
      <c r="A594" s="26" t="s">
        <v>1820</v>
      </c>
      <c r="B594" s="7" t="s">
        <v>1821</v>
      </c>
      <c r="C594" t="s">
        <v>1836</v>
      </c>
      <c r="D594" s="57">
        <f>D593/6</f>
        <v>33.333333333333336</v>
      </c>
      <c r="E594" s="7" t="s">
        <v>1273</v>
      </c>
      <c r="F594" s="19"/>
      <c r="G594" s="4">
        <f>IF(F594&gt;0,F594,IF(PrefetchDBSummary!$C$10="B",AJ594,8))</f>
        <v>8</v>
      </c>
      <c r="H594" s="4">
        <f>PrefetchDBSummary!$C$49</f>
        <v>0</v>
      </c>
      <c r="I594" s="4">
        <f>PrefetchDBSummary!$D$49</f>
        <v>0</v>
      </c>
      <c r="J594" s="5">
        <f t="shared" si="102"/>
        <v>0</v>
      </c>
      <c r="K594" s="4">
        <f t="shared" si="103"/>
        <v>0</v>
      </c>
      <c r="L594" s="4">
        <f t="shared" si="104"/>
        <v>0</v>
      </c>
      <c r="M594" s="5">
        <f t="shared" si="105"/>
        <v>0</v>
      </c>
      <c r="N594" s="17">
        <f t="shared" si="100"/>
        <v>0</v>
      </c>
      <c r="O594" s="32">
        <f t="shared" si="101"/>
        <v>0</v>
      </c>
      <c r="AG594" t="s">
        <v>1851</v>
      </c>
      <c r="AH594" t="s">
        <v>583</v>
      </c>
      <c r="AI594">
        <v>5</v>
      </c>
      <c r="AJ594">
        <v>8</v>
      </c>
      <c r="AK594">
        <v>16</v>
      </c>
      <c r="AL594">
        <v>1</v>
      </c>
      <c r="AM594">
        <v>900</v>
      </c>
      <c r="AN594">
        <v>939</v>
      </c>
      <c r="AO594">
        <v>864</v>
      </c>
      <c r="AP594" s="44"/>
      <c r="AQ594" s="27">
        <f t="shared" si="106"/>
        <v>14040.666666666668</v>
      </c>
    </row>
    <row r="595" spans="1:43" ht="12.75">
      <c r="A595" s="59" t="s">
        <v>1167</v>
      </c>
      <c r="B595" s="7" t="s">
        <v>1266</v>
      </c>
      <c r="C595" t="s">
        <v>1168</v>
      </c>
      <c r="D595" s="19">
        <v>2</v>
      </c>
      <c r="E595" s="7" t="s">
        <v>1280</v>
      </c>
      <c r="F595" s="19"/>
      <c r="G595" s="4">
        <f>IF(F595&gt;0,F595,IF(PrefetchDBSummary!$C$10="B",AJ595,8))</f>
        <v>8</v>
      </c>
      <c r="H595" s="4">
        <f>PrefetchDBSummary!$C$62</f>
        <v>0</v>
      </c>
      <c r="I595" s="4">
        <f>PrefetchDBSummary!$D$58</f>
        <v>0</v>
      </c>
      <c r="J595" s="5">
        <f t="shared" si="102"/>
        <v>0</v>
      </c>
      <c r="K595" s="4">
        <f t="shared" si="103"/>
        <v>0</v>
      </c>
      <c r="L595" s="4">
        <f t="shared" si="104"/>
        <v>0</v>
      </c>
      <c r="M595" s="5">
        <f t="shared" si="105"/>
        <v>0</v>
      </c>
      <c r="N595" s="17">
        <f t="shared" si="100"/>
        <v>0</v>
      </c>
      <c r="O595" s="32">
        <f t="shared" si="101"/>
        <v>0</v>
      </c>
      <c r="AG595" t="s">
        <v>1169</v>
      </c>
      <c r="AH595" t="s">
        <v>582</v>
      </c>
      <c r="AI595">
        <v>1</v>
      </c>
      <c r="AJ595">
        <v>8</v>
      </c>
      <c r="AK595">
        <v>2</v>
      </c>
      <c r="AL595">
        <v>0</v>
      </c>
      <c r="AM595">
        <v>98</v>
      </c>
      <c r="AN595">
        <v>98</v>
      </c>
      <c r="AO595">
        <v>96</v>
      </c>
      <c r="AP595" s="44"/>
      <c r="AQ595" s="27">
        <f t="shared" si="106"/>
        <v>414.8</v>
      </c>
    </row>
    <row r="596" spans="1:43" ht="12.75">
      <c r="A596" t="s">
        <v>1437</v>
      </c>
      <c r="B596" t="s">
        <v>1453</v>
      </c>
      <c r="C596" t="s">
        <v>1438</v>
      </c>
      <c r="D596" s="19">
        <v>10</v>
      </c>
      <c r="E596" s="92" t="s">
        <v>2075</v>
      </c>
      <c r="F596" s="19"/>
      <c r="G596" s="4">
        <f>IF(F596&gt;0,F596,IF(PrefetchDBSummary!$C$10="B",AJ596,8))</f>
        <v>8</v>
      </c>
      <c r="H596" s="4">
        <f>PrefetchDBSummary!$C$58</f>
        <v>0</v>
      </c>
      <c r="I596" s="4">
        <f>PrefetchDBSummary!$D$58</f>
        <v>0</v>
      </c>
      <c r="J596" s="5">
        <f t="shared" si="102"/>
        <v>0</v>
      </c>
      <c r="K596" s="4">
        <f t="shared" si="103"/>
        <v>0</v>
      </c>
      <c r="L596" s="4">
        <f t="shared" si="104"/>
        <v>0</v>
      </c>
      <c r="M596" s="5">
        <f t="shared" si="105"/>
        <v>0</v>
      </c>
      <c r="N596" s="17">
        <f t="shared" si="100"/>
        <v>0</v>
      </c>
      <c r="O596" s="32">
        <f t="shared" si="101"/>
        <v>0</v>
      </c>
      <c r="AG596" t="s">
        <v>1454</v>
      </c>
      <c r="AH596" t="s">
        <v>583</v>
      </c>
      <c r="AI596">
        <v>5</v>
      </c>
      <c r="AJ596">
        <v>14</v>
      </c>
      <c r="AK596">
        <v>7</v>
      </c>
      <c r="AL596">
        <v>0</v>
      </c>
      <c r="AM596">
        <v>1575</v>
      </c>
      <c r="AN596">
        <v>1575</v>
      </c>
      <c r="AO596">
        <v>1568</v>
      </c>
      <c r="AP596" s="44"/>
      <c r="AQ596" s="27">
        <f t="shared" si="106"/>
        <v>6955</v>
      </c>
    </row>
    <row r="597" spans="1:43" ht="12.75">
      <c r="A597" t="s">
        <v>1437</v>
      </c>
      <c r="B597" t="s">
        <v>1453</v>
      </c>
      <c r="C597" t="s">
        <v>1439</v>
      </c>
      <c r="D597" s="19">
        <v>1</v>
      </c>
      <c r="E597" s="12" t="s">
        <v>2060</v>
      </c>
      <c r="F597" s="19"/>
      <c r="G597" s="4">
        <f>IF(F597&gt;0,F597,IF(PrefetchDBSummary!$C$10="B",AJ597,8))</f>
        <v>8</v>
      </c>
      <c r="H597" s="4">
        <f>PrefetchDBSummary!$C$58</f>
        <v>0</v>
      </c>
      <c r="I597" s="4">
        <f>PrefetchDBSummary!$D$58</f>
        <v>0</v>
      </c>
      <c r="J597" s="5">
        <f t="shared" si="102"/>
        <v>0</v>
      </c>
      <c r="K597" s="4">
        <f t="shared" si="103"/>
        <v>0</v>
      </c>
      <c r="L597" s="4">
        <f t="shared" si="104"/>
        <v>0</v>
      </c>
      <c r="M597" s="5">
        <f t="shared" si="105"/>
        <v>0</v>
      </c>
      <c r="N597" s="17">
        <f t="shared" si="100"/>
        <v>0</v>
      </c>
      <c r="O597" s="32">
        <f t="shared" si="101"/>
        <v>0</v>
      </c>
      <c r="AG597" t="s">
        <v>1455</v>
      </c>
      <c r="AH597" t="s">
        <v>583</v>
      </c>
      <c r="AI597">
        <v>5</v>
      </c>
      <c r="AJ597">
        <v>14</v>
      </c>
      <c r="AK597">
        <v>3</v>
      </c>
      <c r="AL597">
        <v>1</v>
      </c>
      <c r="AM597">
        <v>295</v>
      </c>
      <c r="AN597">
        <v>334</v>
      </c>
      <c r="AO597">
        <v>288</v>
      </c>
      <c r="AP597" s="44"/>
      <c r="AQ597" s="27">
        <f t="shared" si="106"/>
        <v>452.2</v>
      </c>
    </row>
    <row r="598" spans="1:43" ht="12.75">
      <c r="A598" t="s">
        <v>1437</v>
      </c>
      <c r="B598" t="s">
        <v>1453</v>
      </c>
      <c r="C598" t="s">
        <v>1440</v>
      </c>
      <c r="D598" s="19">
        <v>1</v>
      </c>
      <c r="E598" s="12" t="s">
        <v>2061</v>
      </c>
      <c r="F598" s="19"/>
      <c r="G598" s="4">
        <f>IF(F598&gt;0,F598,IF(PrefetchDBSummary!$C$10="B",AJ598,8))</f>
        <v>8</v>
      </c>
      <c r="H598" s="4">
        <f>PrefetchDBSummary!$C$58</f>
        <v>0</v>
      </c>
      <c r="I598" s="4">
        <f>PrefetchDBSummary!$D$58</f>
        <v>0</v>
      </c>
      <c r="J598" s="5">
        <f t="shared" si="102"/>
        <v>0</v>
      </c>
      <c r="K598" s="4">
        <f t="shared" si="103"/>
        <v>0</v>
      </c>
      <c r="L598" s="4">
        <f t="shared" si="104"/>
        <v>0</v>
      </c>
      <c r="M598" s="5">
        <f t="shared" si="105"/>
        <v>0</v>
      </c>
      <c r="N598" s="17">
        <f t="shared" si="100"/>
        <v>0</v>
      </c>
      <c r="O598" s="32">
        <f t="shared" si="101"/>
        <v>0</v>
      </c>
      <c r="AG598" t="s">
        <v>1456</v>
      </c>
      <c r="AH598" t="s">
        <v>583</v>
      </c>
      <c r="AI598">
        <v>5</v>
      </c>
      <c r="AJ598">
        <v>14</v>
      </c>
      <c r="AK598">
        <v>7</v>
      </c>
      <c r="AL598">
        <v>0</v>
      </c>
      <c r="AM598">
        <v>1575</v>
      </c>
      <c r="AN598">
        <v>1575</v>
      </c>
      <c r="AO598">
        <v>1568</v>
      </c>
      <c r="AP598" s="44"/>
      <c r="AQ598" s="27">
        <f t="shared" si="106"/>
        <v>1040.2</v>
      </c>
    </row>
    <row r="599" spans="1:43" ht="12.75">
      <c r="A599" t="s">
        <v>1437</v>
      </c>
      <c r="B599" t="s">
        <v>1453</v>
      </c>
      <c r="C599" t="s">
        <v>1441</v>
      </c>
      <c r="D599" s="19">
        <v>1</v>
      </c>
      <c r="E599" s="12" t="s">
        <v>2062</v>
      </c>
      <c r="F599" s="19"/>
      <c r="G599" s="4">
        <f>IF(F599&gt;0,F599,IF(PrefetchDBSummary!$C$10="B",AJ599,8))</f>
        <v>8</v>
      </c>
      <c r="H599" s="4">
        <f>PrefetchDBSummary!$C$58</f>
        <v>0</v>
      </c>
      <c r="I599" s="4">
        <f>PrefetchDBSummary!$D$58</f>
        <v>0</v>
      </c>
      <c r="J599" s="5">
        <f t="shared" si="102"/>
        <v>0</v>
      </c>
      <c r="K599" s="4">
        <f t="shared" si="103"/>
        <v>0</v>
      </c>
      <c r="L599" s="4">
        <f t="shared" si="104"/>
        <v>0</v>
      </c>
      <c r="M599" s="5">
        <f t="shared" si="105"/>
        <v>0</v>
      </c>
      <c r="N599" s="17">
        <f t="shared" si="100"/>
        <v>0</v>
      </c>
      <c r="O599" s="32">
        <f t="shared" si="101"/>
        <v>0</v>
      </c>
      <c r="AG599" t="s">
        <v>1457</v>
      </c>
      <c r="AH599" t="s">
        <v>583</v>
      </c>
      <c r="AI599">
        <v>8</v>
      </c>
      <c r="AJ599">
        <v>8</v>
      </c>
      <c r="AK599">
        <v>10</v>
      </c>
      <c r="AL599">
        <v>1</v>
      </c>
      <c r="AM599">
        <v>570</v>
      </c>
      <c r="AN599">
        <v>609</v>
      </c>
      <c r="AO599">
        <v>552</v>
      </c>
      <c r="AP599" s="44"/>
      <c r="AQ599" s="27">
        <f t="shared" si="106"/>
        <v>701.8</v>
      </c>
    </row>
    <row r="600" spans="1:43" ht="25.5">
      <c r="A600" t="s">
        <v>1437</v>
      </c>
      <c r="B600" s="7" t="s">
        <v>1453</v>
      </c>
      <c r="C600" t="s">
        <v>1442</v>
      </c>
      <c r="D600" s="19">
        <v>10</v>
      </c>
      <c r="E600" s="92" t="s">
        <v>2063</v>
      </c>
      <c r="F600" s="19"/>
      <c r="G600" s="4">
        <f>IF(F600&gt;0,F600,IF(PrefetchDBSummary!$C$10="B",AJ600,8))</f>
        <v>8</v>
      </c>
      <c r="H600" s="4">
        <f>PrefetchDBSummary!$C$58</f>
        <v>0</v>
      </c>
      <c r="I600" s="4">
        <f>PrefetchDBSummary!$D$58</f>
        <v>0</v>
      </c>
      <c r="J600" s="5">
        <f t="shared" si="102"/>
        <v>0</v>
      </c>
      <c r="K600" s="4">
        <f t="shared" si="103"/>
        <v>0</v>
      </c>
      <c r="L600" s="4">
        <f t="shared" si="104"/>
        <v>0</v>
      </c>
      <c r="M600" s="5">
        <f t="shared" si="105"/>
        <v>0</v>
      </c>
      <c r="N600" s="17">
        <f t="shared" si="100"/>
        <v>0</v>
      </c>
      <c r="O600" s="32">
        <f t="shared" si="101"/>
        <v>0</v>
      </c>
      <c r="AG600" t="s">
        <v>1458</v>
      </c>
      <c r="AH600" t="s">
        <v>583</v>
      </c>
      <c r="AI600">
        <v>8</v>
      </c>
      <c r="AJ600">
        <v>8</v>
      </c>
      <c r="AK600">
        <v>9</v>
      </c>
      <c r="AL600">
        <v>1</v>
      </c>
      <c r="AM600">
        <v>557</v>
      </c>
      <c r="AN600">
        <v>596</v>
      </c>
      <c r="AO600">
        <v>544</v>
      </c>
      <c r="AP600" s="44"/>
      <c r="AQ600" s="27">
        <f t="shared" si="106"/>
        <v>2957</v>
      </c>
    </row>
    <row r="601" spans="1:43" ht="12.75">
      <c r="A601" t="s">
        <v>1437</v>
      </c>
      <c r="B601" t="s">
        <v>1453</v>
      </c>
      <c r="C601" t="s">
        <v>1443</v>
      </c>
      <c r="D601" s="19">
        <v>1</v>
      </c>
      <c r="E601" s="12" t="s">
        <v>2059</v>
      </c>
      <c r="F601" s="19"/>
      <c r="G601" s="4">
        <f>IF(F601&gt;0,F601,IF(PrefetchDBSummary!$C$10="B",AJ601,8))</f>
        <v>8</v>
      </c>
      <c r="H601" s="4">
        <f>PrefetchDBSummary!$C$58</f>
        <v>0</v>
      </c>
      <c r="I601" s="4">
        <f>PrefetchDBSummary!$D$58</f>
        <v>0</v>
      </c>
      <c r="J601" s="5">
        <f t="shared" si="102"/>
        <v>0</v>
      </c>
      <c r="K601" s="4">
        <f t="shared" si="103"/>
        <v>0</v>
      </c>
      <c r="L601" s="4">
        <f t="shared" si="104"/>
        <v>0</v>
      </c>
      <c r="M601" s="5">
        <f t="shared" si="105"/>
        <v>0</v>
      </c>
      <c r="N601" s="17">
        <f t="shared" si="100"/>
        <v>0</v>
      </c>
      <c r="O601" s="32">
        <f t="shared" si="101"/>
        <v>0</v>
      </c>
      <c r="AG601" t="s">
        <v>1459</v>
      </c>
      <c r="AH601" t="s">
        <v>583</v>
      </c>
      <c r="AI601">
        <v>8</v>
      </c>
      <c r="AJ601">
        <v>8</v>
      </c>
      <c r="AK601">
        <v>7</v>
      </c>
      <c r="AL601">
        <v>0</v>
      </c>
      <c r="AM601">
        <v>363</v>
      </c>
      <c r="AN601">
        <v>363</v>
      </c>
      <c r="AO601">
        <v>352</v>
      </c>
      <c r="AP601" s="44"/>
      <c r="AQ601" s="27">
        <f t="shared" si="106"/>
        <v>557.8</v>
      </c>
    </row>
    <row r="602" spans="1:43" ht="25.5">
      <c r="A602" t="s">
        <v>1437</v>
      </c>
      <c r="B602" t="s">
        <v>1453</v>
      </c>
      <c r="C602" t="s">
        <v>1444</v>
      </c>
      <c r="D602" s="19">
        <v>2</v>
      </c>
      <c r="E602" s="92" t="s">
        <v>2064</v>
      </c>
      <c r="F602" s="19"/>
      <c r="G602" s="4">
        <f>IF(F602&gt;0,F602,IF(PrefetchDBSummary!$C$10="B",AJ602,8))</f>
        <v>8</v>
      </c>
      <c r="H602" s="4">
        <f>PrefetchDBSummary!$C$58</f>
        <v>0</v>
      </c>
      <c r="I602" s="4">
        <f>PrefetchDBSummary!$D$58</f>
        <v>0</v>
      </c>
      <c r="J602" s="5">
        <f t="shared" si="102"/>
        <v>0</v>
      </c>
      <c r="K602" s="4">
        <f t="shared" si="103"/>
        <v>0</v>
      </c>
      <c r="L602" s="4">
        <f t="shared" si="104"/>
        <v>0</v>
      </c>
      <c r="M602" s="5">
        <f t="shared" si="105"/>
        <v>0</v>
      </c>
      <c r="N602" s="17">
        <f t="shared" si="100"/>
        <v>0</v>
      </c>
      <c r="O602" s="32">
        <f t="shared" si="101"/>
        <v>0</v>
      </c>
      <c r="AG602" t="s">
        <v>1460</v>
      </c>
      <c r="AH602" t="s">
        <v>583</v>
      </c>
      <c r="AI602">
        <v>8</v>
      </c>
      <c r="AJ602">
        <v>8</v>
      </c>
      <c r="AK602">
        <v>6</v>
      </c>
      <c r="AL602">
        <v>3</v>
      </c>
      <c r="AM602">
        <v>130</v>
      </c>
      <c r="AN602">
        <v>247</v>
      </c>
      <c r="AO602">
        <v>96</v>
      </c>
      <c r="AP602" s="44"/>
      <c r="AQ602" s="27">
        <f t="shared" si="106"/>
        <v>554.8</v>
      </c>
    </row>
    <row r="603" spans="1:43" ht="12.75">
      <c r="A603" t="s">
        <v>1437</v>
      </c>
      <c r="B603" t="s">
        <v>1453</v>
      </c>
      <c r="C603" t="s">
        <v>1445</v>
      </c>
      <c r="D603" s="19">
        <v>10</v>
      </c>
      <c r="E603" s="12" t="s">
        <v>2065</v>
      </c>
      <c r="F603" s="19"/>
      <c r="G603" s="4">
        <f>IF(F603&gt;0,F603,IF(PrefetchDBSummary!$C$10="B",AJ603,8))</f>
        <v>8</v>
      </c>
      <c r="H603" s="4">
        <f>PrefetchDBSummary!$C$58</f>
        <v>0</v>
      </c>
      <c r="I603" s="4">
        <f>PrefetchDBSummary!$D$58</f>
        <v>0</v>
      </c>
      <c r="J603" s="5">
        <f t="shared" si="102"/>
        <v>0</v>
      </c>
      <c r="K603" s="4">
        <f t="shared" si="103"/>
        <v>0</v>
      </c>
      <c r="L603" s="4">
        <f t="shared" si="104"/>
        <v>0</v>
      </c>
      <c r="M603" s="5">
        <f t="shared" si="105"/>
        <v>0</v>
      </c>
      <c r="N603" s="17">
        <f t="shared" si="100"/>
        <v>0</v>
      </c>
      <c r="O603" s="32">
        <f t="shared" si="101"/>
        <v>0</v>
      </c>
      <c r="AG603" t="s">
        <v>1461</v>
      </c>
      <c r="AH603" t="s">
        <v>583</v>
      </c>
      <c r="AI603">
        <v>5</v>
      </c>
      <c r="AJ603">
        <v>14</v>
      </c>
      <c r="AK603">
        <v>4</v>
      </c>
      <c r="AL603">
        <v>0</v>
      </c>
      <c r="AM603">
        <v>492</v>
      </c>
      <c r="AN603">
        <v>492</v>
      </c>
      <c r="AO603">
        <v>488</v>
      </c>
      <c r="AP603" s="44"/>
      <c r="AQ603" s="27">
        <f t="shared" si="106"/>
        <v>2548</v>
      </c>
    </row>
    <row r="604" spans="1:43" ht="12.75">
      <c r="A604" t="s">
        <v>1437</v>
      </c>
      <c r="B604" t="s">
        <v>1453</v>
      </c>
      <c r="C604" t="s">
        <v>1446</v>
      </c>
      <c r="D604" s="19">
        <v>1</v>
      </c>
      <c r="E604" s="12" t="s">
        <v>2066</v>
      </c>
      <c r="F604" s="19"/>
      <c r="G604" s="4">
        <f>IF(F604&gt;0,F604,IF(PrefetchDBSummary!$C$10="B",AJ604,8))</f>
        <v>8</v>
      </c>
      <c r="H604" s="4">
        <f>PrefetchDBSummary!$C$58</f>
        <v>0</v>
      </c>
      <c r="I604" s="4">
        <f>PrefetchDBSummary!$D$58</f>
        <v>0</v>
      </c>
      <c r="J604" s="5">
        <f t="shared" si="102"/>
        <v>0</v>
      </c>
      <c r="K604" s="4">
        <f t="shared" si="103"/>
        <v>0</v>
      </c>
      <c r="L604" s="4">
        <f t="shared" si="104"/>
        <v>0</v>
      </c>
      <c r="M604" s="5">
        <f t="shared" si="105"/>
        <v>0</v>
      </c>
      <c r="N604" s="17">
        <f t="shared" si="100"/>
        <v>0</v>
      </c>
      <c r="O604" s="32">
        <f t="shared" si="101"/>
        <v>0</v>
      </c>
      <c r="AG604" t="s">
        <v>1462</v>
      </c>
      <c r="AH604" t="s">
        <v>583</v>
      </c>
      <c r="AI604">
        <v>5</v>
      </c>
      <c r="AJ604">
        <v>8</v>
      </c>
      <c r="AK604">
        <v>4</v>
      </c>
      <c r="AL604">
        <v>1</v>
      </c>
      <c r="AM604">
        <v>120</v>
      </c>
      <c r="AN604">
        <v>159</v>
      </c>
      <c r="AO604">
        <v>96</v>
      </c>
      <c r="AP604" s="44"/>
      <c r="AQ604" s="27">
        <f t="shared" si="106"/>
        <v>411.4</v>
      </c>
    </row>
    <row r="605" spans="1:43" ht="12.75">
      <c r="A605" t="s">
        <v>1437</v>
      </c>
      <c r="B605" t="s">
        <v>1453</v>
      </c>
      <c r="C605" t="s">
        <v>1447</v>
      </c>
      <c r="D605" s="19">
        <v>100</v>
      </c>
      <c r="E605" s="92" t="s">
        <v>2067</v>
      </c>
      <c r="F605" s="19"/>
      <c r="G605" s="4">
        <f>IF(F605&gt;0,F605,IF(PrefetchDBSummary!$C$10="B",AJ605,8))</f>
        <v>8</v>
      </c>
      <c r="H605" s="4">
        <f>PrefetchDBSummary!$C$58</f>
        <v>0</v>
      </c>
      <c r="I605" s="4">
        <f>PrefetchDBSummary!$D$58</f>
        <v>0</v>
      </c>
      <c r="J605" s="5">
        <f t="shared" si="102"/>
        <v>0</v>
      </c>
      <c r="K605" s="4">
        <f t="shared" si="103"/>
        <v>0</v>
      </c>
      <c r="L605" s="4">
        <f t="shared" si="104"/>
        <v>0</v>
      </c>
      <c r="M605" s="5">
        <f t="shared" si="105"/>
        <v>0</v>
      </c>
      <c r="N605" s="17">
        <f t="shared" si="100"/>
        <v>0</v>
      </c>
      <c r="O605" s="32">
        <f t="shared" si="101"/>
        <v>0</v>
      </c>
      <c r="AG605" t="s">
        <v>1463</v>
      </c>
      <c r="AH605" t="s">
        <v>583</v>
      </c>
      <c r="AI605">
        <v>8</v>
      </c>
      <c r="AJ605">
        <v>14</v>
      </c>
      <c r="AK605">
        <v>5</v>
      </c>
      <c r="AL605">
        <v>2</v>
      </c>
      <c r="AM605">
        <v>173</v>
      </c>
      <c r="AN605">
        <v>251</v>
      </c>
      <c r="AO605">
        <v>160</v>
      </c>
      <c r="AP605" s="44"/>
      <c r="AQ605" s="27">
        <f t="shared" si="106"/>
        <v>10345</v>
      </c>
    </row>
    <row r="606" spans="1:43" ht="12.75">
      <c r="A606" t="s">
        <v>1437</v>
      </c>
      <c r="B606" t="s">
        <v>1453</v>
      </c>
      <c r="C606" t="s">
        <v>1448</v>
      </c>
      <c r="D606" s="19">
        <v>1</v>
      </c>
      <c r="E606" s="12" t="s">
        <v>2068</v>
      </c>
      <c r="F606" s="19"/>
      <c r="G606" s="4">
        <f>IF(F606&gt;0,F606,IF(PrefetchDBSummary!$C$10="B",AJ606,8))</f>
        <v>8</v>
      </c>
      <c r="H606" s="4">
        <f>PrefetchDBSummary!$C$58</f>
        <v>0</v>
      </c>
      <c r="I606" s="4">
        <f>PrefetchDBSummary!$D$58</f>
        <v>0</v>
      </c>
      <c r="J606" s="5">
        <f t="shared" si="102"/>
        <v>0</v>
      </c>
      <c r="K606" s="4">
        <f t="shared" si="103"/>
        <v>0</v>
      </c>
      <c r="L606" s="4">
        <f t="shared" si="104"/>
        <v>0</v>
      </c>
      <c r="M606" s="5">
        <f t="shared" si="105"/>
        <v>0</v>
      </c>
      <c r="N606" s="17">
        <f t="shared" si="100"/>
        <v>0</v>
      </c>
      <c r="O606" s="32">
        <f t="shared" si="101"/>
        <v>0</v>
      </c>
      <c r="AG606" t="s">
        <v>1464</v>
      </c>
      <c r="AH606" t="s">
        <v>583</v>
      </c>
      <c r="AI606">
        <v>5</v>
      </c>
      <c r="AJ606">
        <v>14</v>
      </c>
      <c r="AK606">
        <v>6</v>
      </c>
      <c r="AL606">
        <v>3</v>
      </c>
      <c r="AM606">
        <v>90</v>
      </c>
      <c r="AN606">
        <v>175</v>
      </c>
      <c r="AO606">
        <v>32</v>
      </c>
      <c r="AP606" s="44"/>
      <c r="AQ606" s="27">
        <f t="shared" si="106"/>
        <v>457.8</v>
      </c>
    </row>
    <row r="607" spans="1:43" ht="12.75">
      <c r="A607" t="s">
        <v>1437</v>
      </c>
      <c r="B607" t="s">
        <v>1453</v>
      </c>
      <c r="C607" t="s">
        <v>1449</v>
      </c>
      <c r="D607" s="19">
        <v>2</v>
      </c>
      <c r="E607" s="12" t="s">
        <v>2069</v>
      </c>
      <c r="F607" s="19"/>
      <c r="G607" s="4">
        <f>IF(F607&gt;0,F607,IF(PrefetchDBSummary!$C$10="B",AJ607,8))</f>
        <v>8</v>
      </c>
      <c r="H607" s="4">
        <f>PrefetchDBSummary!$C$58</f>
        <v>0</v>
      </c>
      <c r="I607" s="4">
        <f>PrefetchDBSummary!$D$58</f>
        <v>0</v>
      </c>
      <c r="J607" s="5">
        <f t="shared" si="102"/>
        <v>0</v>
      </c>
      <c r="K607" s="4">
        <f t="shared" si="103"/>
        <v>0</v>
      </c>
      <c r="L607" s="4">
        <f t="shared" si="104"/>
        <v>0</v>
      </c>
      <c r="M607" s="5">
        <f t="shared" si="105"/>
        <v>0</v>
      </c>
      <c r="N607" s="17">
        <f t="shared" si="100"/>
        <v>0</v>
      </c>
      <c r="O607" s="32">
        <f t="shared" si="101"/>
        <v>0</v>
      </c>
      <c r="AG607" t="s">
        <v>1465</v>
      </c>
      <c r="AH607" t="s">
        <v>583</v>
      </c>
      <c r="AI607">
        <v>8</v>
      </c>
      <c r="AJ607">
        <v>8</v>
      </c>
      <c r="AK607">
        <v>8</v>
      </c>
      <c r="AL607">
        <v>0</v>
      </c>
      <c r="AM607">
        <v>896</v>
      </c>
      <c r="AN607">
        <v>896</v>
      </c>
      <c r="AO607">
        <v>888</v>
      </c>
      <c r="AP607" s="44"/>
      <c r="AQ607" s="27">
        <f t="shared" si="106"/>
        <v>1174.4</v>
      </c>
    </row>
    <row r="608" spans="1:43" ht="25.5">
      <c r="A608" t="s">
        <v>1437</v>
      </c>
      <c r="B608" t="s">
        <v>1453</v>
      </c>
      <c r="C608" t="s">
        <v>1852</v>
      </c>
      <c r="D608" s="19">
        <v>50</v>
      </c>
      <c r="E608" s="12" t="s">
        <v>2074</v>
      </c>
      <c r="F608" s="19"/>
      <c r="G608" s="4">
        <f>IF(F608&gt;0,F608,IF(PrefetchDBSummary!$C$10="B",AJ608,8))</f>
        <v>8</v>
      </c>
      <c r="H608" s="4">
        <f>PrefetchDBSummary!$C$58</f>
        <v>0</v>
      </c>
      <c r="I608" s="4">
        <f>PrefetchDBSummary!$D$58</f>
        <v>0</v>
      </c>
      <c r="J608" s="5">
        <f t="shared" si="102"/>
        <v>0</v>
      </c>
      <c r="K608" s="4">
        <f t="shared" si="103"/>
        <v>0</v>
      </c>
      <c r="L608" s="4">
        <f t="shared" si="104"/>
        <v>0</v>
      </c>
      <c r="M608" s="5">
        <f t="shared" si="105"/>
        <v>0</v>
      </c>
      <c r="N608" s="17">
        <f t="shared" si="100"/>
        <v>0</v>
      </c>
      <c r="O608" s="32">
        <f t="shared" si="101"/>
        <v>0</v>
      </c>
      <c r="AG608" t="s">
        <v>1853</v>
      </c>
      <c r="AH608" t="s">
        <v>583</v>
      </c>
      <c r="AI608">
        <v>1</v>
      </c>
      <c r="AJ608">
        <v>8</v>
      </c>
      <c r="AK608">
        <v>6</v>
      </c>
      <c r="AL608">
        <v>2</v>
      </c>
      <c r="AM608">
        <v>354</v>
      </c>
      <c r="AN608">
        <v>440</v>
      </c>
      <c r="AO608">
        <v>332</v>
      </c>
      <c r="AP608" s="44"/>
      <c r="AQ608" s="27">
        <f t="shared" si="106"/>
        <v>9254</v>
      </c>
    </row>
    <row r="609" spans="1:43" ht="25.5">
      <c r="A609" t="s">
        <v>1437</v>
      </c>
      <c r="B609" t="s">
        <v>1453</v>
      </c>
      <c r="C609" t="s">
        <v>1450</v>
      </c>
      <c r="D609" s="19">
        <v>10</v>
      </c>
      <c r="E609" s="12" t="s">
        <v>2070</v>
      </c>
      <c r="F609" s="19"/>
      <c r="G609" s="4">
        <f>IF(F609&gt;0,F609,IF(PrefetchDBSummary!$C$10="B",AJ609,8))</f>
        <v>8</v>
      </c>
      <c r="H609" s="4">
        <f>PrefetchDBSummary!$C$58</f>
        <v>0</v>
      </c>
      <c r="I609" s="4">
        <f>PrefetchDBSummary!$D$58</f>
        <v>0</v>
      </c>
      <c r="J609" s="5">
        <f t="shared" si="102"/>
        <v>0</v>
      </c>
      <c r="K609" s="4">
        <f t="shared" si="103"/>
        <v>0</v>
      </c>
      <c r="L609" s="4">
        <f t="shared" si="104"/>
        <v>0</v>
      </c>
      <c r="M609" s="5">
        <f t="shared" si="105"/>
        <v>0</v>
      </c>
      <c r="N609" s="17">
        <f t="shared" si="100"/>
        <v>0</v>
      </c>
      <c r="O609" s="32">
        <f t="shared" si="101"/>
        <v>0</v>
      </c>
      <c r="AG609" t="s">
        <v>1466</v>
      </c>
      <c r="AH609" t="s">
        <v>583</v>
      </c>
      <c r="AI609">
        <v>5</v>
      </c>
      <c r="AJ609">
        <v>14</v>
      </c>
      <c r="AK609">
        <v>6</v>
      </c>
      <c r="AL609">
        <v>3</v>
      </c>
      <c r="AM609">
        <v>166</v>
      </c>
      <c r="AN609">
        <v>283</v>
      </c>
      <c r="AO609">
        <v>132</v>
      </c>
      <c r="AP609" s="44"/>
      <c r="AQ609" s="27">
        <f t="shared" si="106"/>
        <v>1462</v>
      </c>
    </row>
    <row r="610" spans="1:43" ht="12.75">
      <c r="A610" t="s">
        <v>1437</v>
      </c>
      <c r="B610" t="s">
        <v>1453</v>
      </c>
      <c r="C610" t="s">
        <v>1451</v>
      </c>
      <c r="D610" s="19">
        <v>5</v>
      </c>
      <c r="E610" s="12" t="s">
        <v>2071</v>
      </c>
      <c r="F610" s="19"/>
      <c r="G610" s="4">
        <f>IF(F610&gt;0,F610,IF(PrefetchDBSummary!$C$10="B",AJ610,8))</f>
        <v>8</v>
      </c>
      <c r="H610" s="4">
        <f>PrefetchDBSummary!$C$58</f>
        <v>0</v>
      </c>
      <c r="I610" s="4">
        <f>PrefetchDBSummary!$D$58</f>
        <v>0</v>
      </c>
      <c r="J610" s="5">
        <f t="shared" si="102"/>
        <v>0</v>
      </c>
      <c r="K610" s="4">
        <f t="shared" si="103"/>
        <v>0</v>
      </c>
      <c r="L610" s="4">
        <f t="shared" si="104"/>
        <v>0</v>
      </c>
      <c r="M610" s="5">
        <f t="shared" si="105"/>
        <v>0</v>
      </c>
      <c r="N610" s="17">
        <f t="shared" si="100"/>
        <v>0</v>
      </c>
      <c r="O610" s="32">
        <f t="shared" si="101"/>
        <v>0</v>
      </c>
      <c r="AG610" t="s">
        <v>1467</v>
      </c>
      <c r="AH610" t="s">
        <v>583</v>
      </c>
      <c r="AI610">
        <v>5</v>
      </c>
      <c r="AJ610">
        <v>14</v>
      </c>
      <c r="AK610">
        <v>4</v>
      </c>
      <c r="AL610">
        <v>1</v>
      </c>
      <c r="AM610">
        <v>156</v>
      </c>
      <c r="AN610">
        <v>195</v>
      </c>
      <c r="AO610">
        <v>132</v>
      </c>
      <c r="AP610" s="44"/>
      <c r="AQ610" s="27">
        <f t="shared" si="106"/>
        <v>825</v>
      </c>
    </row>
    <row r="611" spans="1:43" ht="12.75">
      <c r="A611" t="s">
        <v>1437</v>
      </c>
      <c r="B611" t="s">
        <v>1453</v>
      </c>
      <c r="C611" t="s">
        <v>1452</v>
      </c>
      <c r="D611" s="19">
        <v>50</v>
      </c>
      <c r="E611" s="12" t="s">
        <v>2072</v>
      </c>
      <c r="F611" s="19"/>
      <c r="G611" s="4">
        <f>IF(F611&gt;0,F611,IF(PrefetchDBSummary!$C$10="B",AJ611,8))</f>
        <v>8</v>
      </c>
      <c r="H611" s="4">
        <f>PrefetchDBSummary!$C$58</f>
        <v>0</v>
      </c>
      <c r="I611" s="4">
        <f>PrefetchDBSummary!$D$58</f>
        <v>0</v>
      </c>
      <c r="J611" s="5">
        <f t="shared" si="102"/>
        <v>0</v>
      </c>
      <c r="K611" s="4">
        <f t="shared" si="103"/>
        <v>0</v>
      </c>
      <c r="L611" s="4">
        <f t="shared" si="104"/>
        <v>0</v>
      </c>
      <c r="M611" s="5">
        <f t="shared" si="105"/>
        <v>0</v>
      </c>
      <c r="N611" s="17">
        <f t="shared" si="100"/>
        <v>0</v>
      </c>
      <c r="O611" s="32">
        <f t="shared" si="101"/>
        <v>0</v>
      </c>
      <c r="AG611" t="s">
        <v>1468</v>
      </c>
      <c r="AH611" t="s">
        <v>583</v>
      </c>
      <c r="AI611">
        <v>8</v>
      </c>
      <c r="AJ611">
        <v>14</v>
      </c>
      <c r="AK611">
        <v>9</v>
      </c>
      <c r="AL611">
        <v>0</v>
      </c>
      <c r="AM611">
        <v>841</v>
      </c>
      <c r="AN611">
        <v>841</v>
      </c>
      <c r="AO611">
        <v>832</v>
      </c>
      <c r="AP611" s="44"/>
      <c r="AQ611" s="27">
        <f t="shared" si="106"/>
        <v>18661</v>
      </c>
    </row>
    <row r="612" spans="1:43" ht="12.75">
      <c r="A612" t="s">
        <v>1437</v>
      </c>
      <c r="B612" t="s">
        <v>1453</v>
      </c>
      <c r="C612" t="s">
        <v>1588</v>
      </c>
      <c r="D612" s="19">
        <v>100</v>
      </c>
      <c r="E612" s="12" t="s">
        <v>2073</v>
      </c>
      <c r="F612" s="19"/>
      <c r="G612" s="4">
        <f>IF(F612&gt;0,F612,IF(PrefetchDBSummary!$C$10="B",AJ612,8))</f>
        <v>8</v>
      </c>
      <c r="H612" s="4">
        <f>PrefetchDBSummary!$C$58</f>
        <v>0</v>
      </c>
      <c r="I612" s="4">
        <f>PrefetchDBSummary!$D$58</f>
        <v>0</v>
      </c>
      <c r="J612" s="5">
        <f t="shared" si="102"/>
        <v>0</v>
      </c>
      <c r="K612" s="4">
        <f t="shared" si="103"/>
        <v>0</v>
      </c>
      <c r="L612" s="4">
        <f t="shared" si="104"/>
        <v>0</v>
      </c>
      <c r="M612" s="5">
        <f t="shared" si="105"/>
        <v>0</v>
      </c>
      <c r="N612" s="17">
        <f t="shared" si="100"/>
        <v>0</v>
      </c>
      <c r="O612" s="32">
        <f t="shared" si="101"/>
        <v>0</v>
      </c>
      <c r="AG612" t="s">
        <v>1589</v>
      </c>
      <c r="AH612" t="s">
        <v>583</v>
      </c>
      <c r="AI612">
        <v>60</v>
      </c>
      <c r="AJ612">
        <v>1</v>
      </c>
      <c r="AK612">
        <v>3</v>
      </c>
      <c r="AL612">
        <v>0</v>
      </c>
      <c r="AM612">
        <v>235</v>
      </c>
      <c r="AN612">
        <v>235</v>
      </c>
      <c r="AO612">
        <v>232</v>
      </c>
      <c r="AP612" s="44"/>
      <c r="AQ612" s="27">
        <f t="shared" si="106"/>
        <v>12187.000000000002</v>
      </c>
    </row>
    <row r="613" spans="1:43" ht="12.75">
      <c r="A613" s="1" t="s">
        <v>565</v>
      </c>
      <c r="B613" s="7" t="s">
        <v>2044</v>
      </c>
      <c r="C613" t="s">
        <v>960</v>
      </c>
      <c r="D613" s="19">
        <v>31</v>
      </c>
      <c r="E613" s="7"/>
      <c r="F613" s="19"/>
      <c r="G613" s="4">
        <f>IF(F613&gt;0,F613,IF(PrefetchDBSummary!$C$10="B",AJ613,8))</f>
        <v>8</v>
      </c>
      <c r="H613" s="4">
        <f>PrefetchDBSummary!$C$54</f>
        <v>0</v>
      </c>
      <c r="I613" s="4">
        <f>PrefetchDBSummary!$D$54</f>
        <v>0</v>
      </c>
      <c r="J613" s="5">
        <f t="shared" si="102"/>
        <v>0</v>
      </c>
      <c r="K613" s="4">
        <f t="shared" si="103"/>
        <v>0</v>
      </c>
      <c r="L613" s="4">
        <f t="shared" si="104"/>
        <v>0</v>
      </c>
      <c r="M613" s="5">
        <f t="shared" si="105"/>
        <v>0</v>
      </c>
      <c r="N613" s="17">
        <f t="shared" si="100"/>
        <v>0</v>
      </c>
      <c r="O613" s="32">
        <f t="shared" si="101"/>
        <v>0</v>
      </c>
      <c r="AG613" t="s">
        <v>961</v>
      </c>
      <c r="AH613" t="s">
        <v>583</v>
      </c>
      <c r="AI613">
        <v>1</v>
      </c>
      <c r="AJ613">
        <v>8</v>
      </c>
      <c r="AK613">
        <v>4</v>
      </c>
      <c r="AL613">
        <v>0</v>
      </c>
      <c r="AM613">
        <v>562</v>
      </c>
      <c r="AN613">
        <v>562</v>
      </c>
      <c r="AO613">
        <v>542</v>
      </c>
      <c r="AQ613" s="27">
        <f t="shared" si="106"/>
        <v>8379.8</v>
      </c>
    </row>
    <row r="614" spans="1:43" ht="12.75">
      <c r="A614" s="1" t="s">
        <v>565</v>
      </c>
      <c r="B614" s="7" t="s">
        <v>2044</v>
      </c>
      <c r="C614" t="s">
        <v>357</v>
      </c>
      <c r="D614" s="19">
        <v>13</v>
      </c>
      <c r="E614" s="7" t="s">
        <v>834</v>
      </c>
      <c r="F614" s="19"/>
      <c r="G614" s="4">
        <f>IF(F614&gt;0,F614,IF(PrefetchDBSummary!$C$10="B",AJ614,8))</f>
        <v>8</v>
      </c>
      <c r="H614" s="4">
        <f>PrefetchDBSummary!$C$54</f>
        <v>0</v>
      </c>
      <c r="I614" s="4">
        <f>PrefetchDBSummary!$D$54</f>
        <v>0</v>
      </c>
      <c r="J614" s="5">
        <f t="shared" si="102"/>
        <v>0</v>
      </c>
      <c r="K614" s="4">
        <f t="shared" si="103"/>
        <v>0</v>
      </c>
      <c r="L614" s="4">
        <f t="shared" si="104"/>
        <v>0</v>
      </c>
      <c r="M614" s="5">
        <f t="shared" si="105"/>
        <v>0</v>
      </c>
      <c r="N614" s="17">
        <f t="shared" si="100"/>
        <v>0</v>
      </c>
      <c r="O614" s="32">
        <f t="shared" si="101"/>
        <v>0</v>
      </c>
      <c r="AG614" t="s">
        <v>358</v>
      </c>
      <c r="AH614" t="s">
        <v>583</v>
      </c>
      <c r="AI614">
        <v>1</v>
      </c>
      <c r="AJ614">
        <v>8</v>
      </c>
      <c r="AK614">
        <v>23</v>
      </c>
      <c r="AL614">
        <v>13</v>
      </c>
      <c r="AM614">
        <v>967</v>
      </c>
      <c r="AN614">
        <v>1486</v>
      </c>
      <c r="AO614">
        <v>768</v>
      </c>
      <c r="AQ614" s="27">
        <f t="shared" si="106"/>
        <v>7566.6</v>
      </c>
    </row>
    <row r="615" spans="1:43" ht="12.75">
      <c r="A615" s="1" t="s">
        <v>566</v>
      </c>
      <c r="B615" s="7" t="s">
        <v>2109</v>
      </c>
      <c r="C615" t="s">
        <v>962</v>
      </c>
      <c r="D615" s="19">
        <v>3</v>
      </c>
      <c r="E615" s="7"/>
      <c r="F615" s="19"/>
      <c r="G615" s="4">
        <f>IF(F615&gt;0,F615,IF(PrefetchDBSummary!$C$10="B",AJ615,8))</f>
        <v>8</v>
      </c>
      <c r="H615" s="4">
        <f>PrefetchDBSummary!$C$18</f>
        <v>0</v>
      </c>
      <c r="I615" s="4">
        <f>PrefetchDBSummary!$D$18</f>
        <v>0</v>
      </c>
      <c r="J615" s="5">
        <f t="shared" si="102"/>
        <v>0</v>
      </c>
      <c r="K615" s="4">
        <f t="shared" si="103"/>
        <v>0</v>
      </c>
      <c r="L615" s="4">
        <f t="shared" si="104"/>
        <v>0</v>
      </c>
      <c r="M615" s="5">
        <f t="shared" si="105"/>
        <v>0</v>
      </c>
      <c r="N615" s="17">
        <f t="shared" si="100"/>
        <v>0</v>
      </c>
      <c r="O615" s="32">
        <f t="shared" si="101"/>
        <v>0</v>
      </c>
      <c r="AG615" t="s">
        <v>966</v>
      </c>
      <c r="AH615" t="s">
        <v>583</v>
      </c>
      <c r="AI615">
        <v>1</v>
      </c>
      <c r="AJ615">
        <v>8</v>
      </c>
      <c r="AK615">
        <v>10</v>
      </c>
      <c r="AL615">
        <v>1</v>
      </c>
      <c r="AM615">
        <v>2757</v>
      </c>
      <c r="AN615">
        <v>2800</v>
      </c>
      <c r="AO615">
        <v>2704</v>
      </c>
      <c r="AP615" s="44">
        <v>0.8586956521739131</v>
      </c>
      <c r="AQ615" s="27">
        <f t="shared" si="106"/>
        <v>1814.260869565217</v>
      </c>
    </row>
    <row r="616" spans="1:43" ht="12.75">
      <c r="A616" s="1" t="s">
        <v>566</v>
      </c>
      <c r="B616" s="7" t="s">
        <v>2109</v>
      </c>
      <c r="C616" t="s">
        <v>963</v>
      </c>
      <c r="D616" s="19">
        <v>22</v>
      </c>
      <c r="E616" s="7"/>
      <c r="F616" s="19"/>
      <c r="G616" s="4">
        <f>IF(F616&gt;0,F616,IF(PrefetchDBSummary!$C$10="B",AJ616,8))</f>
        <v>8</v>
      </c>
      <c r="H616" s="4">
        <f>PrefetchDBSummary!$C$18</f>
        <v>0</v>
      </c>
      <c r="I616" s="4">
        <f>PrefetchDBSummary!$D$18</f>
        <v>0</v>
      </c>
      <c r="J616" s="5">
        <f t="shared" si="102"/>
        <v>0</v>
      </c>
      <c r="K616" s="4">
        <f t="shared" si="103"/>
        <v>0</v>
      </c>
      <c r="L616" s="4">
        <f t="shared" si="104"/>
        <v>0</v>
      </c>
      <c r="M616" s="5">
        <f t="shared" si="105"/>
        <v>0</v>
      </c>
      <c r="N616" s="17">
        <f t="shared" si="100"/>
        <v>0</v>
      </c>
      <c r="O616" s="32">
        <f t="shared" si="101"/>
        <v>0</v>
      </c>
      <c r="AG616" t="s">
        <v>967</v>
      </c>
      <c r="AH616" t="s">
        <v>583</v>
      </c>
      <c r="AI616">
        <v>1</v>
      </c>
      <c r="AJ616">
        <v>15</v>
      </c>
      <c r="AK616">
        <v>6</v>
      </c>
      <c r="AL616">
        <v>2</v>
      </c>
      <c r="AM616">
        <v>152</v>
      </c>
      <c r="AN616">
        <v>222</v>
      </c>
      <c r="AO616">
        <v>124</v>
      </c>
      <c r="AP616" s="44">
        <v>0.8586956521739131</v>
      </c>
      <c r="AQ616" s="27">
        <f t="shared" si="106"/>
        <v>1871.4782608695652</v>
      </c>
    </row>
    <row r="617" spans="1:43" ht="12.75">
      <c r="A617" s="1" t="s">
        <v>566</v>
      </c>
      <c r="B617" s="7" t="s">
        <v>2109</v>
      </c>
      <c r="C617" t="s">
        <v>964</v>
      </c>
      <c r="D617" s="19">
        <v>3</v>
      </c>
      <c r="E617" s="7" t="s">
        <v>747</v>
      </c>
      <c r="F617" s="19"/>
      <c r="G617" s="4">
        <f>IF(F617&gt;0,F617,IF(PrefetchDBSummary!$C$10="B",AJ617,8))</f>
        <v>8</v>
      </c>
      <c r="H617" s="4">
        <f>PrefetchDBSummary!$C$18</f>
        <v>0</v>
      </c>
      <c r="I617" s="4">
        <f>PrefetchDBSummary!$D$18</f>
        <v>0</v>
      </c>
      <c r="J617" s="5">
        <f t="shared" si="102"/>
        <v>0</v>
      </c>
      <c r="K617" s="4">
        <f t="shared" si="103"/>
        <v>0</v>
      </c>
      <c r="L617" s="4">
        <f t="shared" si="104"/>
        <v>0</v>
      </c>
      <c r="M617" s="5">
        <f t="shared" si="105"/>
        <v>0</v>
      </c>
      <c r="N617" s="17">
        <f t="shared" si="100"/>
        <v>0</v>
      </c>
      <c r="O617" s="32">
        <f t="shared" si="101"/>
        <v>0</v>
      </c>
      <c r="AG617" t="s">
        <v>968</v>
      </c>
      <c r="AH617" t="s">
        <v>583</v>
      </c>
      <c r="AI617">
        <v>3</v>
      </c>
      <c r="AJ617">
        <v>15</v>
      </c>
      <c r="AK617">
        <v>7</v>
      </c>
      <c r="AL617">
        <v>3</v>
      </c>
      <c r="AM617">
        <v>133</v>
      </c>
      <c r="AN617">
        <v>262</v>
      </c>
      <c r="AO617">
        <v>92</v>
      </c>
      <c r="AP617" s="44">
        <v>0.8586956521739131</v>
      </c>
      <c r="AQ617" s="27">
        <f t="shared" si="106"/>
        <v>614</v>
      </c>
    </row>
    <row r="618" spans="1:43" ht="12.75">
      <c r="A618" s="1" t="s">
        <v>566</v>
      </c>
      <c r="B618" s="7" t="s">
        <v>2109</v>
      </c>
      <c r="C618" t="s">
        <v>369</v>
      </c>
      <c r="D618" s="19">
        <v>3</v>
      </c>
      <c r="E618" s="7" t="s">
        <v>878</v>
      </c>
      <c r="F618" s="19"/>
      <c r="G618" s="4">
        <f>IF(F618&gt;0,F618,IF(PrefetchDBSummary!$C$10="B",AJ618,8))</f>
        <v>8</v>
      </c>
      <c r="H618" s="4">
        <f>PrefetchDBSummary!$C$18</f>
        <v>0</v>
      </c>
      <c r="I618" s="4">
        <f>PrefetchDBSummary!$D$18</f>
        <v>0</v>
      </c>
      <c r="J618" s="5">
        <f t="shared" si="102"/>
        <v>0</v>
      </c>
      <c r="K618" s="4">
        <f t="shared" si="103"/>
        <v>0</v>
      </c>
      <c r="L618" s="4">
        <f t="shared" si="104"/>
        <v>0</v>
      </c>
      <c r="M618" s="5">
        <f t="shared" si="105"/>
        <v>0</v>
      </c>
      <c r="N618" s="17">
        <f t="shared" si="100"/>
        <v>0</v>
      </c>
      <c r="O618" s="32">
        <f t="shared" si="101"/>
        <v>0</v>
      </c>
      <c r="AG618" t="s">
        <v>372</v>
      </c>
      <c r="AH618" t="s">
        <v>583</v>
      </c>
      <c r="AI618">
        <v>1</v>
      </c>
      <c r="AJ618">
        <v>24</v>
      </c>
      <c r="AK618">
        <v>40</v>
      </c>
      <c r="AL618">
        <v>33</v>
      </c>
      <c r="AM618">
        <v>576</v>
      </c>
      <c r="AN618">
        <v>1813</v>
      </c>
      <c r="AO618">
        <v>184</v>
      </c>
      <c r="AP618" s="44">
        <v>0.7173913043478262</v>
      </c>
      <c r="AQ618" s="27">
        <f t="shared" si="106"/>
        <v>2411</v>
      </c>
    </row>
    <row r="619" spans="1:43" ht="12.75">
      <c r="A619" s="1" t="s">
        <v>566</v>
      </c>
      <c r="B619" s="7" t="s">
        <v>2109</v>
      </c>
      <c r="C619" t="s">
        <v>965</v>
      </c>
      <c r="D619" s="19">
        <v>0</v>
      </c>
      <c r="E619" s="7" t="s">
        <v>835</v>
      </c>
      <c r="F619" s="19"/>
      <c r="G619" s="4">
        <f>IF(F619&gt;0,F619,IF(PrefetchDBSummary!$C$10="B",AJ619,8))</f>
        <v>8</v>
      </c>
      <c r="H619" s="4">
        <f>PrefetchDBSummary!$C$18</f>
        <v>0</v>
      </c>
      <c r="I619" s="4">
        <f>PrefetchDBSummary!$D$18</f>
        <v>0</v>
      </c>
      <c r="J619" s="5">
        <f t="shared" si="102"/>
        <v>0</v>
      </c>
      <c r="K619" s="4">
        <f t="shared" si="103"/>
        <v>0</v>
      </c>
      <c r="L619" s="4">
        <f t="shared" si="104"/>
        <v>0</v>
      </c>
      <c r="M619" s="5">
        <f t="shared" si="105"/>
        <v>0</v>
      </c>
      <c r="N619" s="17">
        <f t="shared" si="100"/>
        <v>0</v>
      </c>
      <c r="O619" s="32">
        <f t="shared" si="101"/>
        <v>0</v>
      </c>
      <c r="AG619" t="s">
        <v>969</v>
      </c>
      <c r="AH619" t="s">
        <v>583</v>
      </c>
      <c r="AI619">
        <v>1</v>
      </c>
      <c r="AJ619">
        <v>8</v>
      </c>
      <c r="AK619">
        <v>8</v>
      </c>
      <c r="AL619">
        <v>1</v>
      </c>
      <c r="AM619">
        <v>132</v>
      </c>
      <c r="AN619">
        <v>175</v>
      </c>
      <c r="AO619">
        <v>92</v>
      </c>
      <c r="AP619" s="44">
        <v>0.5855263157894737</v>
      </c>
      <c r="AQ619" s="27">
        <f t="shared" si="106"/>
        <v>402</v>
      </c>
    </row>
    <row r="620" spans="1:43" ht="12.75">
      <c r="A620" s="1" t="s">
        <v>566</v>
      </c>
      <c r="B620" s="7" t="s">
        <v>2109</v>
      </c>
      <c r="C620" t="s">
        <v>370</v>
      </c>
      <c r="D620" s="19">
        <v>2</v>
      </c>
      <c r="E620" s="7" t="s">
        <v>747</v>
      </c>
      <c r="F620" s="19"/>
      <c r="G620" s="4">
        <f>IF(F620&gt;0,F620,IF(PrefetchDBSummary!$C$10="B",AJ620,8))</f>
        <v>8</v>
      </c>
      <c r="H620" s="4">
        <f>PrefetchDBSummary!$C$18</f>
        <v>0</v>
      </c>
      <c r="I620" s="4">
        <f>PrefetchDBSummary!$D$18</f>
        <v>0</v>
      </c>
      <c r="J620" s="5">
        <f t="shared" si="102"/>
        <v>0</v>
      </c>
      <c r="K620" s="4">
        <f t="shared" si="103"/>
        <v>0</v>
      </c>
      <c r="L620" s="4">
        <f t="shared" si="104"/>
        <v>0</v>
      </c>
      <c r="M620" s="5">
        <f t="shared" si="105"/>
        <v>0</v>
      </c>
      <c r="N620" s="17">
        <f t="shared" si="100"/>
        <v>0</v>
      </c>
      <c r="O620" s="32">
        <f t="shared" si="101"/>
        <v>0</v>
      </c>
      <c r="AG620" t="s">
        <v>373</v>
      </c>
      <c r="AH620" t="s">
        <v>583</v>
      </c>
      <c r="AI620">
        <v>10</v>
      </c>
      <c r="AJ620">
        <v>8</v>
      </c>
      <c r="AK620">
        <v>6</v>
      </c>
      <c r="AL620">
        <v>0</v>
      </c>
      <c r="AM620">
        <v>172</v>
      </c>
      <c r="AN620">
        <v>172</v>
      </c>
      <c r="AO620">
        <v>152</v>
      </c>
      <c r="AP620" s="44">
        <v>0.7173913043478262</v>
      </c>
      <c r="AQ620" s="27">
        <f t="shared" si="106"/>
        <v>535.9130434782609</v>
      </c>
    </row>
    <row r="621" spans="1:43" ht="12.75">
      <c r="A621" s="1" t="s">
        <v>566</v>
      </c>
      <c r="B621" s="7" t="s">
        <v>2109</v>
      </c>
      <c r="C621" t="s">
        <v>371</v>
      </c>
      <c r="D621" s="19">
        <v>1</v>
      </c>
      <c r="E621" s="7" t="s">
        <v>836</v>
      </c>
      <c r="F621" s="19"/>
      <c r="G621" s="4">
        <f>IF(F621&gt;0,F621,IF(PrefetchDBSummary!$C$10="B",AJ621,8))</f>
        <v>8</v>
      </c>
      <c r="H621" s="4">
        <f>PrefetchDBSummary!$C$18</f>
        <v>0</v>
      </c>
      <c r="I621" s="4">
        <f>PrefetchDBSummary!$D$18</f>
        <v>0</v>
      </c>
      <c r="J621" s="5">
        <f t="shared" si="102"/>
        <v>0</v>
      </c>
      <c r="K621" s="4">
        <f t="shared" si="103"/>
        <v>0</v>
      </c>
      <c r="L621" s="4">
        <f t="shared" si="104"/>
        <v>0</v>
      </c>
      <c r="M621" s="5">
        <f t="shared" si="105"/>
        <v>0</v>
      </c>
      <c r="N621" s="17">
        <f t="shared" si="100"/>
        <v>0</v>
      </c>
      <c r="O621" s="32">
        <f t="shared" si="101"/>
        <v>0</v>
      </c>
      <c r="AG621" t="s">
        <v>374</v>
      </c>
      <c r="AH621" t="s">
        <v>583</v>
      </c>
      <c r="AI621">
        <v>1</v>
      </c>
      <c r="AJ621">
        <v>24</v>
      </c>
      <c r="AK621">
        <v>14</v>
      </c>
      <c r="AL621">
        <v>9</v>
      </c>
      <c r="AM621">
        <v>242</v>
      </c>
      <c r="AN621">
        <v>639</v>
      </c>
      <c r="AO621">
        <v>124</v>
      </c>
      <c r="AP621" s="44">
        <v>0.9193548387096774</v>
      </c>
      <c r="AQ621" s="27">
        <f t="shared" si="106"/>
        <v>667</v>
      </c>
    </row>
    <row r="622" spans="1:43" ht="12.75">
      <c r="A622" s="1" t="s">
        <v>566</v>
      </c>
      <c r="B622" s="7" t="s">
        <v>2109</v>
      </c>
      <c r="C622" t="s">
        <v>403</v>
      </c>
      <c r="D622" s="4">
        <f>PrefetchDBSummary!E18</f>
        <v>1000</v>
      </c>
      <c r="E622" s="7" t="s">
        <v>783</v>
      </c>
      <c r="F622" s="19"/>
      <c r="G622" s="4">
        <f>IF(F622&gt;0,F622,IF(PrefetchDBSummary!$C$10="B",AJ622,8))</f>
        <v>8</v>
      </c>
      <c r="H622" s="4">
        <f>PrefetchDBSummary!$C$18</f>
        <v>0</v>
      </c>
      <c r="I622" s="4">
        <f>PrefetchDBSummary!$D$18</f>
        <v>0</v>
      </c>
      <c r="J622" s="5">
        <f t="shared" si="102"/>
        <v>0</v>
      </c>
      <c r="K622" s="4">
        <f t="shared" si="103"/>
        <v>0</v>
      </c>
      <c r="L622" s="4">
        <f t="shared" si="104"/>
        <v>0</v>
      </c>
      <c r="M622" s="5">
        <f t="shared" si="105"/>
        <v>0</v>
      </c>
      <c r="N622" s="17">
        <f t="shared" si="100"/>
        <v>0</v>
      </c>
      <c r="O622" s="32">
        <f t="shared" si="101"/>
        <v>0</v>
      </c>
      <c r="AG622" t="s">
        <v>404</v>
      </c>
      <c r="AH622" t="s">
        <v>583</v>
      </c>
      <c r="AI622">
        <v>5</v>
      </c>
      <c r="AJ622">
        <v>8</v>
      </c>
      <c r="AK622">
        <v>12</v>
      </c>
      <c r="AL622">
        <v>5</v>
      </c>
      <c r="AM622">
        <v>398</v>
      </c>
      <c r="AN622">
        <v>557</v>
      </c>
      <c r="AO622">
        <v>332</v>
      </c>
      <c r="AP622" s="44">
        <v>0.611268710767745</v>
      </c>
      <c r="AQ622" s="27">
        <f t="shared" si="106"/>
        <v>218536.78802510863</v>
      </c>
    </row>
    <row r="623" spans="1:43" ht="12.75">
      <c r="A623" s="1" t="s">
        <v>566</v>
      </c>
      <c r="B623" s="7" t="s">
        <v>2109</v>
      </c>
      <c r="C623" t="s">
        <v>1369</v>
      </c>
      <c r="D623" s="19">
        <v>13</v>
      </c>
      <c r="E623" s="7" t="s">
        <v>877</v>
      </c>
      <c r="F623" s="19"/>
      <c r="G623" s="4">
        <f>IF(F623&gt;0,F623,IF(PrefetchDBSummary!$C$10="B",AJ623,8))</f>
        <v>8</v>
      </c>
      <c r="H623" s="4">
        <f>PrefetchDBSummary!$C$18</f>
        <v>0</v>
      </c>
      <c r="I623" s="4">
        <f>PrefetchDBSummary!$D$18</f>
        <v>0</v>
      </c>
      <c r="J623" s="5">
        <f t="shared" si="102"/>
        <v>0</v>
      </c>
      <c r="K623" s="4">
        <f t="shared" si="103"/>
        <v>0</v>
      </c>
      <c r="L623" s="4">
        <f t="shared" si="104"/>
        <v>0</v>
      </c>
      <c r="M623" s="5">
        <f t="shared" si="105"/>
        <v>0</v>
      </c>
      <c r="N623" s="17">
        <f aca="true" t="shared" si="107" ref="N623:N686">L623*60*24*IF(G623&gt;0,G623,(G623))</f>
        <v>0</v>
      </c>
      <c r="O623" s="32">
        <f aca="true" t="shared" si="108" ref="O623:O686">N623*($AM623-$AO623*IF($AP623&gt;0,1-$AP623,1-$AS$2))*(1-$AS$3)/1024/1024</f>
        <v>0</v>
      </c>
      <c r="AG623" t="s">
        <v>1170</v>
      </c>
      <c r="AH623" t="s">
        <v>583</v>
      </c>
      <c r="AI623">
        <v>5</v>
      </c>
      <c r="AJ623">
        <v>15</v>
      </c>
      <c r="AK623">
        <v>14</v>
      </c>
      <c r="AL623">
        <v>6</v>
      </c>
      <c r="AM623">
        <v>300</v>
      </c>
      <c r="AN623">
        <v>486</v>
      </c>
      <c r="AO623">
        <v>192</v>
      </c>
      <c r="AP623" s="44">
        <v>0.8125</v>
      </c>
      <c r="AQ623" s="27">
        <f t="shared" si="106"/>
        <v>2687</v>
      </c>
    </row>
    <row r="624" spans="1:43" ht="12.75">
      <c r="A624" s="1" t="s">
        <v>567</v>
      </c>
      <c r="B624" s="7" t="s">
        <v>2038</v>
      </c>
      <c r="C624" t="s">
        <v>255</v>
      </c>
      <c r="D624" s="19">
        <v>1</v>
      </c>
      <c r="E624" s="7" t="str">
        <f>IF(AH624="S","Always one row per interval","")</f>
        <v>Always one row per interval</v>
      </c>
      <c r="F624" s="19"/>
      <c r="G624" s="4">
        <f>IF(F624&gt;0,F624,IF(PrefetchDBSummary!$C$10="B",AJ624,8))</f>
        <v>8</v>
      </c>
      <c r="H624" s="4">
        <f>PrefetchDBSummary!$C$65</f>
        <v>10</v>
      </c>
      <c r="I624" s="4">
        <f>PrefetchDBSummary!$D$65</f>
        <v>0</v>
      </c>
      <c r="J624" s="5">
        <f t="shared" si="102"/>
        <v>15.67</v>
      </c>
      <c r="K624" s="4">
        <f t="shared" si="103"/>
        <v>1</v>
      </c>
      <c r="L624" s="4">
        <f t="shared" si="104"/>
        <v>10</v>
      </c>
      <c r="M624" s="5">
        <f t="shared" si="105"/>
        <v>3.26015625</v>
      </c>
      <c r="N624" s="17">
        <f t="shared" si="107"/>
        <v>115200</v>
      </c>
      <c r="O624" s="32">
        <f t="shared" si="108"/>
        <v>9.465820312499996</v>
      </c>
      <c r="AG624" t="s">
        <v>256</v>
      </c>
      <c r="AH624" t="s">
        <v>582</v>
      </c>
      <c r="AI624">
        <v>1</v>
      </c>
      <c r="AJ624">
        <v>32</v>
      </c>
      <c r="AK624">
        <v>18</v>
      </c>
      <c r="AL624">
        <v>11</v>
      </c>
      <c r="AM624">
        <v>642</v>
      </c>
      <c r="AN624">
        <v>1107</v>
      </c>
      <c r="AO624">
        <v>528</v>
      </c>
      <c r="AQ624" s="27">
        <f t="shared" si="106"/>
        <v>940.2</v>
      </c>
    </row>
    <row r="625" spans="1:43" ht="12.75">
      <c r="A625" s="1" t="s">
        <v>567</v>
      </c>
      <c r="B625" s="7" t="s">
        <v>2038</v>
      </c>
      <c r="C625" t="s">
        <v>259</v>
      </c>
      <c r="D625" s="19">
        <v>1</v>
      </c>
      <c r="E625" s="7" t="s">
        <v>837</v>
      </c>
      <c r="F625" s="19"/>
      <c r="G625" s="4">
        <f>IF(F625&gt;0,F625,IF(PrefetchDBSummary!$C$10="B",AJ625,8))</f>
        <v>8</v>
      </c>
      <c r="H625" s="4">
        <f>PrefetchDBSummary!$C$65</f>
        <v>10</v>
      </c>
      <c r="I625" s="4">
        <f>PrefetchDBSummary!$D$65</f>
        <v>0</v>
      </c>
      <c r="J625" s="5">
        <f t="shared" si="102"/>
        <v>9.15</v>
      </c>
      <c r="K625" s="4">
        <f t="shared" si="103"/>
        <v>1</v>
      </c>
      <c r="L625" s="4">
        <f t="shared" si="104"/>
        <v>10</v>
      </c>
      <c r="M625" s="5">
        <f t="shared" si="105"/>
        <v>1.79765625</v>
      </c>
      <c r="N625" s="17">
        <f t="shared" si="107"/>
        <v>115200</v>
      </c>
      <c r="O625" s="32">
        <f t="shared" si="108"/>
        <v>4.965820312499999</v>
      </c>
      <c r="AG625" t="s">
        <v>260</v>
      </c>
      <c r="AH625" t="s">
        <v>583</v>
      </c>
      <c r="AI625">
        <v>1</v>
      </c>
      <c r="AJ625">
        <v>32</v>
      </c>
      <c r="AK625">
        <v>6</v>
      </c>
      <c r="AL625">
        <v>3</v>
      </c>
      <c r="AM625">
        <v>354</v>
      </c>
      <c r="AN625">
        <v>471</v>
      </c>
      <c r="AO625">
        <v>320</v>
      </c>
      <c r="AQ625" s="27">
        <f t="shared" si="106"/>
        <v>549</v>
      </c>
    </row>
    <row r="626" spans="1:43" ht="12.75">
      <c r="A626" s="1" t="s">
        <v>567</v>
      </c>
      <c r="B626" s="7" t="s">
        <v>2038</v>
      </c>
      <c r="C626" t="s">
        <v>257</v>
      </c>
      <c r="D626" s="19">
        <v>1</v>
      </c>
      <c r="E626" s="7" t="s">
        <v>837</v>
      </c>
      <c r="F626" s="19"/>
      <c r="G626" s="4">
        <f>IF(F626&gt;0,F626,IF(PrefetchDBSummary!$C$10="B",AJ626,8))</f>
        <v>8</v>
      </c>
      <c r="H626" s="4">
        <f>PrefetchDBSummary!$C$65</f>
        <v>10</v>
      </c>
      <c r="I626" s="4">
        <f>PrefetchDBSummary!$D$65</f>
        <v>0</v>
      </c>
      <c r="J626" s="5">
        <f t="shared" si="102"/>
        <v>1.62875</v>
      </c>
      <c r="K626" s="4">
        <f t="shared" si="103"/>
        <v>0.125</v>
      </c>
      <c r="L626" s="4">
        <f t="shared" si="104"/>
        <v>1.25</v>
      </c>
      <c r="M626" s="5">
        <f t="shared" si="105"/>
        <v>0.543359375</v>
      </c>
      <c r="N626" s="17">
        <f t="shared" si="107"/>
        <v>14400</v>
      </c>
      <c r="O626" s="32">
        <f t="shared" si="108"/>
        <v>1.4370117187499998</v>
      </c>
      <c r="AG626" t="s">
        <v>258</v>
      </c>
      <c r="AH626" t="s">
        <v>583</v>
      </c>
      <c r="AI626">
        <v>8</v>
      </c>
      <c r="AJ626">
        <v>8</v>
      </c>
      <c r="AK626">
        <v>8</v>
      </c>
      <c r="AL626">
        <v>0</v>
      </c>
      <c r="AM626">
        <v>856</v>
      </c>
      <c r="AN626">
        <v>856</v>
      </c>
      <c r="AO626">
        <v>832</v>
      </c>
      <c r="AQ626" s="27">
        <f t="shared" si="106"/>
        <v>781.8</v>
      </c>
    </row>
    <row r="627" spans="1:43" ht="12.75">
      <c r="A627" s="1" t="s">
        <v>567</v>
      </c>
      <c r="B627" s="7" t="s">
        <v>2038</v>
      </c>
      <c r="C627" t="s">
        <v>261</v>
      </c>
      <c r="D627" s="19">
        <v>1</v>
      </c>
      <c r="E627" s="7" t="s">
        <v>837</v>
      </c>
      <c r="F627" s="19"/>
      <c r="G627" s="4">
        <f>IF(F627&gt;0,F627,IF(PrefetchDBSummary!$C$10="B",AJ627,8))</f>
        <v>8</v>
      </c>
      <c r="H627" s="4">
        <f>PrefetchDBSummary!$C$65</f>
        <v>10</v>
      </c>
      <c r="I627" s="4">
        <f>PrefetchDBSummary!$D$65</f>
        <v>0</v>
      </c>
      <c r="J627" s="5">
        <f t="shared" si="102"/>
        <v>1.75</v>
      </c>
      <c r="K627" s="4">
        <f t="shared" si="103"/>
        <v>0.2</v>
      </c>
      <c r="L627" s="4">
        <f t="shared" si="104"/>
        <v>2</v>
      </c>
      <c r="M627" s="5">
        <f t="shared" si="105"/>
        <v>0.35445312500000004</v>
      </c>
      <c r="N627" s="17">
        <f t="shared" si="107"/>
        <v>23040</v>
      </c>
      <c r="O627" s="32">
        <f t="shared" si="108"/>
        <v>0.9711914062499998</v>
      </c>
      <c r="AG627" t="s">
        <v>262</v>
      </c>
      <c r="AH627" t="s">
        <v>583</v>
      </c>
      <c r="AI627">
        <v>5</v>
      </c>
      <c r="AJ627">
        <v>32</v>
      </c>
      <c r="AK627">
        <v>5</v>
      </c>
      <c r="AL627">
        <v>2</v>
      </c>
      <c r="AM627">
        <v>349</v>
      </c>
      <c r="AN627">
        <v>427</v>
      </c>
      <c r="AO627">
        <v>320</v>
      </c>
      <c r="AQ627" s="27">
        <f t="shared" si="106"/>
        <v>525</v>
      </c>
    </row>
    <row r="628" spans="1:43" ht="12.75">
      <c r="A628" s="1" t="s">
        <v>567</v>
      </c>
      <c r="B628" s="7" t="s">
        <v>2038</v>
      </c>
      <c r="C628" t="s">
        <v>75</v>
      </c>
      <c r="D628" s="19">
        <f>D629*2</f>
        <v>30</v>
      </c>
      <c r="E628" s="7" t="s">
        <v>758</v>
      </c>
      <c r="F628" s="19"/>
      <c r="G628" s="4">
        <f>IF(F628&gt;0,F628,IF(PrefetchDBSummary!$C$10="B",AJ628,8))</f>
        <v>8</v>
      </c>
      <c r="H628" s="4">
        <f>PrefetchDBSummary!$C$65</f>
        <v>10</v>
      </c>
      <c r="I628" s="4">
        <f>PrefetchDBSummary!$D$65</f>
        <v>0</v>
      </c>
      <c r="J628" s="5">
        <f t="shared" si="102"/>
        <v>279.5</v>
      </c>
      <c r="K628" s="4">
        <f t="shared" si="103"/>
        <v>30</v>
      </c>
      <c r="L628" s="4">
        <f t="shared" si="104"/>
        <v>300</v>
      </c>
      <c r="M628" s="5">
        <f t="shared" si="105"/>
        <v>169.7109375</v>
      </c>
      <c r="N628" s="17">
        <f t="shared" si="107"/>
        <v>3456000</v>
      </c>
      <c r="O628" s="32">
        <f t="shared" si="108"/>
        <v>472.7636718749999</v>
      </c>
      <c r="AG628" t="s">
        <v>76</v>
      </c>
      <c r="AH628" t="s">
        <v>583</v>
      </c>
      <c r="AI628">
        <v>1</v>
      </c>
      <c r="AJ628">
        <v>8</v>
      </c>
      <c r="AK628">
        <v>14</v>
      </c>
      <c r="AL628">
        <v>5</v>
      </c>
      <c r="AM628">
        <v>1114</v>
      </c>
      <c r="AN628">
        <v>1345</v>
      </c>
      <c r="AO628">
        <v>992</v>
      </c>
      <c r="AQ628" s="27">
        <f t="shared" si="106"/>
        <v>16770</v>
      </c>
    </row>
    <row r="629" spans="1:43" ht="12.75">
      <c r="A629" s="1" t="s">
        <v>567</v>
      </c>
      <c r="B629" s="7" t="s">
        <v>2038</v>
      </c>
      <c r="C629" t="s">
        <v>77</v>
      </c>
      <c r="D629" s="4">
        <f>PrefetchDBSummary!E65</f>
        <v>15</v>
      </c>
      <c r="E629" s="7" t="s">
        <v>769</v>
      </c>
      <c r="F629" s="19"/>
      <c r="G629" s="4">
        <f>IF(F629&gt;0,F629,IF(PrefetchDBSummary!$C$10="B",AJ629,8))</f>
        <v>8</v>
      </c>
      <c r="H629" s="4">
        <f>PrefetchDBSummary!$C$65</f>
        <v>10</v>
      </c>
      <c r="I629" s="4">
        <f>PrefetchDBSummary!$D$65</f>
        <v>0</v>
      </c>
      <c r="J629" s="5">
        <f t="shared" si="102"/>
        <v>73.71666666666667</v>
      </c>
      <c r="K629" s="4">
        <f t="shared" si="103"/>
        <v>15</v>
      </c>
      <c r="L629" s="4">
        <f t="shared" si="104"/>
        <v>150</v>
      </c>
      <c r="M629" s="5">
        <f t="shared" si="105"/>
        <v>40.21875</v>
      </c>
      <c r="N629" s="17">
        <f t="shared" si="107"/>
        <v>1728000</v>
      </c>
      <c r="O629" s="32">
        <f t="shared" si="108"/>
        <v>110.74218749999997</v>
      </c>
      <c r="AG629" t="s">
        <v>78</v>
      </c>
      <c r="AH629" t="s">
        <v>583</v>
      </c>
      <c r="AI629">
        <v>1</v>
      </c>
      <c r="AJ629">
        <v>14</v>
      </c>
      <c r="AK629">
        <v>12</v>
      </c>
      <c r="AL629">
        <v>5</v>
      </c>
      <c r="AM629">
        <v>528</v>
      </c>
      <c r="AN629">
        <v>723</v>
      </c>
      <c r="AO629">
        <v>480</v>
      </c>
      <c r="AQ629" s="27">
        <f t="shared" si="106"/>
        <v>4423</v>
      </c>
    </row>
    <row r="630" spans="1:43" ht="12.75">
      <c r="A630" s="1" t="s">
        <v>567</v>
      </c>
      <c r="B630" s="7" t="s">
        <v>2038</v>
      </c>
      <c r="C630" t="s">
        <v>1171</v>
      </c>
      <c r="D630" s="19">
        <v>0</v>
      </c>
      <c r="E630" s="7" t="s">
        <v>1269</v>
      </c>
      <c r="F630" s="19"/>
      <c r="G630" s="4">
        <f>IF(F630&gt;0,F630,IF(PrefetchDBSummary!$C$10="B",AJ630,8))</f>
        <v>8</v>
      </c>
      <c r="H630" s="4">
        <f>PrefetchDBSummary!$C$65</f>
        <v>10</v>
      </c>
      <c r="I630" s="4">
        <f>PrefetchDBSummary!$D$65</f>
        <v>0</v>
      </c>
      <c r="J630" s="5">
        <f t="shared" si="102"/>
        <v>1.34</v>
      </c>
      <c r="K630" s="4">
        <f t="shared" si="103"/>
        <v>0</v>
      </c>
      <c r="L630" s="4">
        <f t="shared" si="104"/>
        <v>0</v>
      </c>
      <c r="M630" s="5">
        <f t="shared" si="105"/>
        <v>0</v>
      </c>
      <c r="N630" s="17">
        <f t="shared" si="107"/>
        <v>0</v>
      </c>
      <c r="O630" s="32">
        <f t="shared" si="108"/>
        <v>0</v>
      </c>
      <c r="AG630" t="s">
        <v>1174</v>
      </c>
      <c r="AH630" t="s">
        <v>583</v>
      </c>
      <c r="AI630">
        <v>5</v>
      </c>
      <c r="AJ630">
        <v>32</v>
      </c>
      <c r="AK630">
        <v>8</v>
      </c>
      <c r="AL630">
        <v>0</v>
      </c>
      <c r="AM630">
        <v>2163</v>
      </c>
      <c r="AN630">
        <v>2163</v>
      </c>
      <c r="AO630">
        <v>2144</v>
      </c>
      <c r="AQ630" s="27">
        <f t="shared" si="106"/>
        <v>402</v>
      </c>
    </row>
    <row r="631" spans="1:43" ht="12.75">
      <c r="A631" s="1" t="s">
        <v>567</v>
      </c>
      <c r="B631" s="7" t="s">
        <v>2038</v>
      </c>
      <c r="C631" t="s">
        <v>1172</v>
      </c>
      <c r="D631" s="19">
        <v>0</v>
      </c>
      <c r="E631" s="7" t="s">
        <v>1270</v>
      </c>
      <c r="F631" s="19"/>
      <c r="G631" s="4">
        <f>IF(F631&gt;0,F631,IF(PrefetchDBSummary!$C$10="B",AJ631,8))</f>
        <v>8</v>
      </c>
      <c r="H631" s="4">
        <f>PrefetchDBSummary!$C$65</f>
        <v>10</v>
      </c>
      <c r="I631" s="4">
        <f>PrefetchDBSummary!$D$65</f>
        <v>0</v>
      </c>
      <c r="J631" s="5">
        <f t="shared" si="102"/>
        <v>1.8466666666666667</v>
      </c>
      <c r="K631" s="4">
        <f t="shared" si="103"/>
        <v>0</v>
      </c>
      <c r="L631" s="4">
        <f t="shared" si="104"/>
        <v>0</v>
      </c>
      <c r="M631" s="5">
        <f t="shared" si="105"/>
        <v>0</v>
      </c>
      <c r="N631" s="17">
        <f t="shared" si="107"/>
        <v>0</v>
      </c>
      <c r="O631" s="32">
        <f t="shared" si="108"/>
        <v>0</v>
      </c>
      <c r="AG631" t="s">
        <v>1175</v>
      </c>
      <c r="AH631" t="s">
        <v>583</v>
      </c>
      <c r="AI631">
        <v>5</v>
      </c>
      <c r="AJ631">
        <v>8</v>
      </c>
      <c r="AK631">
        <v>16</v>
      </c>
      <c r="AL631">
        <v>3</v>
      </c>
      <c r="AM631">
        <v>1216</v>
      </c>
      <c r="AN631">
        <v>1273</v>
      </c>
      <c r="AO631">
        <v>1120</v>
      </c>
      <c r="AQ631" s="27">
        <f t="shared" si="106"/>
        <v>554</v>
      </c>
    </row>
    <row r="632" spans="1:43" ht="12.75">
      <c r="A632" s="1" t="s">
        <v>567</v>
      </c>
      <c r="B632" s="7" t="s">
        <v>2038</v>
      </c>
      <c r="C632" t="s">
        <v>1173</v>
      </c>
      <c r="D632" s="19">
        <v>0</v>
      </c>
      <c r="E632" s="7" t="s">
        <v>1271</v>
      </c>
      <c r="F632" s="19"/>
      <c r="G632" s="4">
        <f>IF(F632&gt;0,F632,IF(PrefetchDBSummary!$C$10="B",AJ632,8))</f>
        <v>8</v>
      </c>
      <c r="H632" s="4">
        <f>PrefetchDBSummary!$C$65</f>
        <v>10</v>
      </c>
      <c r="I632" s="4">
        <f>PrefetchDBSummary!$D$65</f>
        <v>0</v>
      </c>
      <c r="J632" s="5">
        <f t="shared" si="102"/>
        <v>11.45</v>
      </c>
      <c r="K632" s="4">
        <f t="shared" si="103"/>
        <v>0</v>
      </c>
      <c r="L632" s="4">
        <f t="shared" si="104"/>
        <v>0</v>
      </c>
      <c r="M632" s="5">
        <f t="shared" si="105"/>
        <v>0</v>
      </c>
      <c r="N632" s="17">
        <f t="shared" si="107"/>
        <v>0</v>
      </c>
      <c r="O632" s="32">
        <f t="shared" si="108"/>
        <v>0</v>
      </c>
      <c r="AG632" t="s">
        <v>1176</v>
      </c>
      <c r="AH632" t="s">
        <v>583</v>
      </c>
      <c r="AI632">
        <v>1</v>
      </c>
      <c r="AJ632">
        <v>8</v>
      </c>
      <c r="AK632">
        <v>23</v>
      </c>
      <c r="AL632">
        <v>5</v>
      </c>
      <c r="AM632">
        <v>5167</v>
      </c>
      <c r="AN632">
        <v>5378</v>
      </c>
      <c r="AO632">
        <v>5088</v>
      </c>
      <c r="AQ632" s="27">
        <f t="shared" si="106"/>
        <v>687</v>
      </c>
    </row>
    <row r="633" spans="1:43" ht="12.75">
      <c r="A633" s="1" t="s">
        <v>567</v>
      </c>
      <c r="B633" s="7" t="s">
        <v>2038</v>
      </c>
      <c r="C633" t="s">
        <v>389</v>
      </c>
      <c r="D633" s="19">
        <v>1</v>
      </c>
      <c r="E633" s="7" t="str">
        <f>IF(AH633="S","Always one row per interval","")</f>
        <v>Always one row per interval</v>
      </c>
      <c r="F633" s="19"/>
      <c r="G633" s="4">
        <f>IF(F633&gt;0,F633,IF(PrefetchDBSummary!$C$10="B",AJ633,8))</f>
        <v>8</v>
      </c>
      <c r="H633" s="4">
        <f>PrefetchDBSummary!$C$65</f>
        <v>10</v>
      </c>
      <c r="I633" s="4">
        <f>PrefetchDBSummary!$D$65</f>
        <v>0</v>
      </c>
      <c r="J633" s="5">
        <f t="shared" si="102"/>
        <v>1.2637500000000002</v>
      </c>
      <c r="K633" s="4">
        <f t="shared" si="103"/>
        <v>0.125</v>
      </c>
      <c r="L633" s="4">
        <f t="shared" si="104"/>
        <v>1.25</v>
      </c>
      <c r="M633" s="5">
        <f t="shared" si="105"/>
        <v>0.31166992187500003</v>
      </c>
      <c r="N633" s="17">
        <f t="shared" si="107"/>
        <v>14400</v>
      </c>
      <c r="O633" s="32">
        <f t="shared" si="108"/>
        <v>0.8168334960937498</v>
      </c>
      <c r="AG633" t="s">
        <v>392</v>
      </c>
      <c r="AH633" t="s">
        <v>582</v>
      </c>
      <c r="AI633">
        <v>8</v>
      </c>
      <c r="AJ633">
        <v>8</v>
      </c>
      <c r="AK633">
        <v>7</v>
      </c>
      <c r="AL633">
        <v>0</v>
      </c>
      <c r="AM633">
        <v>491</v>
      </c>
      <c r="AN633">
        <v>491</v>
      </c>
      <c r="AO633">
        <v>484</v>
      </c>
      <c r="AQ633" s="27">
        <f t="shared" si="106"/>
        <v>606.6</v>
      </c>
    </row>
    <row r="634" spans="1:43" ht="12.75">
      <c r="A634" s="1" t="s">
        <v>567</v>
      </c>
      <c r="B634" s="7" t="s">
        <v>2038</v>
      </c>
      <c r="C634" t="s">
        <v>320</v>
      </c>
      <c r="D634" s="19">
        <v>3</v>
      </c>
      <c r="E634" s="7" t="s">
        <v>760</v>
      </c>
      <c r="F634" s="19"/>
      <c r="G634" s="4">
        <f>IF(F634&gt;0,F634,IF(PrefetchDBSummary!$C$10="B",AJ634,8))</f>
        <v>8</v>
      </c>
      <c r="H634" s="4">
        <f>PrefetchDBSummary!$C$65</f>
        <v>10</v>
      </c>
      <c r="I634" s="4">
        <f>PrefetchDBSummary!$D$65</f>
        <v>0</v>
      </c>
      <c r="J634" s="5">
        <f t="shared" si="102"/>
        <v>19.996666666666666</v>
      </c>
      <c r="K634" s="4">
        <f t="shared" si="103"/>
        <v>3</v>
      </c>
      <c r="L634" s="4">
        <f t="shared" si="104"/>
        <v>30</v>
      </c>
      <c r="M634" s="5">
        <f t="shared" si="105"/>
        <v>3.86953125</v>
      </c>
      <c r="N634" s="17">
        <f t="shared" si="107"/>
        <v>345600</v>
      </c>
      <c r="O634" s="32">
        <f t="shared" si="108"/>
        <v>13.473632812499996</v>
      </c>
      <c r="AG634" t="s">
        <v>321</v>
      </c>
      <c r="AH634" t="s">
        <v>583</v>
      </c>
      <c r="AI634">
        <v>1</v>
      </c>
      <c r="AJ634">
        <v>32</v>
      </c>
      <c r="AK634">
        <v>18</v>
      </c>
      <c r="AL634">
        <v>10</v>
      </c>
      <c r="AM634">
        <v>254</v>
      </c>
      <c r="AN634">
        <v>668</v>
      </c>
      <c r="AO634">
        <v>124</v>
      </c>
      <c r="AQ634" s="27">
        <f t="shared" si="106"/>
        <v>1199.8</v>
      </c>
    </row>
    <row r="635" spans="1:43" ht="12.75">
      <c r="A635" s="1" t="s">
        <v>567</v>
      </c>
      <c r="B635" s="7" t="s">
        <v>2038</v>
      </c>
      <c r="C635" t="s">
        <v>82</v>
      </c>
      <c r="D635" s="19">
        <v>15</v>
      </c>
      <c r="E635" s="7" t="s">
        <v>761</v>
      </c>
      <c r="F635" s="19"/>
      <c r="G635" s="4">
        <f>IF(F635&gt;0,F635,IF(PrefetchDBSummary!$C$10="B",AJ635,8))</f>
        <v>8</v>
      </c>
      <c r="H635" s="4">
        <f>PrefetchDBSummary!$C$65</f>
        <v>10</v>
      </c>
      <c r="I635" s="4">
        <f>PrefetchDBSummary!$D$65</f>
        <v>0</v>
      </c>
      <c r="J635" s="5">
        <f t="shared" si="102"/>
        <v>49.61666666666667</v>
      </c>
      <c r="K635" s="4">
        <f t="shared" si="103"/>
        <v>15</v>
      </c>
      <c r="L635" s="4">
        <f t="shared" si="104"/>
        <v>150</v>
      </c>
      <c r="M635" s="5">
        <f t="shared" si="105"/>
        <v>22.927734375</v>
      </c>
      <c r="N635" s="17">
        <f t="shared" si="107"/>
        <v>1728000</v>
      </c>
      <c r="O635" s="32">
        <f t="shared" si="108"/>
        <v>65.45654296874999</v>
      </c>
      <c r="AG635" t="s">
        <v>356</v>
      </c>
      <c r="AH635" t="s">
        <v>583</v>
      </c>
      <c r="AI635">
        <v>1</v>
      </c>
      <c r="AJ635">
        <v>32</v>
      </c>
      <c r="AK635">
        <v>9</v>
      </c>
      <c r="AL635">
        <v>4</v>
      </c>
      <c r="AM635">
        <v>301</v>
      </c>
      <c r="AN635">
        <v>445</v>
      </c>
      <c r="AO635">
        <v>256</v>
      </c>
      <c r="AQ635" s="27">
        <f t="shared" si="106"/>
        <v>2977</v>
      </c>
    </row>
    <row r="636" spans="1:43" ht="12.75">
      <c r="A636" s="1" t="s">
        <v>567</v>
      </c>
      <c r="B636" s="7" t="s">
        <v>2038</v>
      </c>
      <c r="C636" t="s">
        <v>79</v>
      </c>
      <c r="D636" s="19">
        <v>8</v>
      </c>
      <c r="E636" s="7" t="s">
        <v>838</v>
      </c>
      <c r="F636" s="19"/>
      <c r="G636" s="4">
        <f>IF(F636&gt;0,F636,IF(PrefetchDBSummary!$C$10="B",AJ636,8))</f>
        <v>8</v>
      </c>
      <c r="H636" s="4">
        <f>PrefetchDBSummary!$C$65</f>
        <v>10</v>
      </c>
      <c r="I636" s="4">
        <f>PrefetchDBSummary!$D$65</f>
        <v>0</v>
      </c>
      <c r="J636" s="5">
        <f t="shared" si="102"/>
        <v>23.146666666666665</v>
      </c>
      <c r="K636" s="4">
        <f t="shared" si="103"/>
        <v>8</v>
      </c>
      <c r="L636" s="4">
        <f t="shared" si="104"/>
        <v>80</v>
      </c>
      <c r="M636" s="5">
        <f t="shared" si="105"/>
        <v>5.4437500000000005</v>
      </c>
      <c r="N636" s="17">
        <f t="shared" si="107"/>
        <v>921600</v>
      </c>
      <c r="O636" s="32">
        <f t="shared" si="108"/>
        <v>19.054687499999996</v>
      </c>
      <c r="AG636" t="s">
        <v>80</v>
      </c>
      <c r="AH636" t="s">
        <v>583</v>
      </c>
      <c r="AI636">
        <v>1</v>
      </c>
      <c r="AJ636">
        <v>32</v>
      </c>
      <c r="AK636">
        <v>10</v>
      </c>
      <c r="AL636">
        <v>6</v>
      </c>
      <c r="AM636">
        <v>134</v>
      </c>
      <c r="AN636">
        <v>380</v>
      </c>
      <c r="AO636">
        <v>64</v>
      </c>
      <c r="AQ636" s="27">
        <f t="shared" si="106"/>
        <v>1388.8</v>
      </c>
    </row>
    <row r="637" spans="1:43" ht="12.75">
      <c r="A637" s="1" t="s">
        <v>567</v>
      </c>
      <c r="B637" s="7" t="s">
        <v>2038</v>
      </c>
      <c r="C637" t="s">
        <v>81</v>
      </c>
      <c r="D637" s="19">
        <v>1</v>
      </c>
      <c r="E637" s="7" t="str">
        <f>IF(AH637="S","Always one row per interval","")</f>
        <v>Always one row per interval</v>
      </c>
      <c r="F637" s="19"/>
      <c r="G637" s="4">
        <f>IF(F637&gt;0,F637,IF(PrefetchDBSummary!$C$10="B",AJ637,8))</f>
        <v>8</v>
      </c>
      <c r="H637" s="4">
        <f>PrefetchDBSummary!$C$65</f>
        <v>10</v>
      </c>
      <c r="I637" s="4">
        <f>PrefetchDBSummary!$D$65</f>
        <v>0</v>
      </c>
      <c r="J637" s="5">
        <f t="shared" si="102"/>
        <v>11.376666666666667</v>
      </c>
      <c r="K637" s="4">
        <f t="shared" si="103"/>
        <v>1</v>
      </c>
      <c r="L637" s="4">
        <f t="shared" si="104"/>
        <v>10</v>
      </c>
      <c r="M637" s="5">
        <f t="shared" si="105"/>
        <v>0.92421875</v>
      </c>
      <c r="N637" s="17">
        <f t="shared" si="107"/>
        <v>115200</v>
      </c>
      <c r="O637" s="32">
        <f t="shared" si="108"/>
        <v>3.436523437499999</v>
      </c>
      <c r="AG637" t="s">
        <v>417</v>
      </c>
      <c r="AH637" t="s">
        <v>582</v>
      </c>
      <c r="AI637">
        <v>1</v>
      </c>
      <c r="AJ637">
        <v>32</v>
      </c>
      <c r="AK637">
        <v>14</v>
      </c>
      <c r="AL637">
        <v>11</v>
      </c>
      <c r="AM637">
        <v>182</v>
      </c>
      <c r="AN637">
        <v>623</v>
      </c>
      <c r="AO637">
        <v>64</v>
      </c>
      <c r="AQ637" s="27">
        <f t="shared" si="106"/>
        <v>682.6</v>
      </c>
    </row>
    <row r="638" spans="1:43" ht="12.75">
      <c r="A638" s="1" t="s">
        <v>567</v>
      </c>
      <c r="B638" s="7" t="s">
        <v>2038</v>
      </c>
      <c r="C638" t="s">
        <v>390</v>
      </c>
      <c r="D638" s="19">
        <v>1</v>
      </c>
      <c r="E638" s="7" t="s">
        <v>765</v>
      </c>
      <c r="F638" s="19"/>
      <c r="G638" s="4">
        <f>IF(F638&gt;0,F638,IF(PrefetchDBSummary!$C$10="B",AJ638,8))</f>
        <v>8</v>
      </c>
      <c r="H638" s="4">
        <f>PrefetchDBSummary!$C$65</f>
        <v>10</v>
      </c>
      <c r="I638" s="4">
        <f>PrefetchDBSummary!$D$65</f>
        <v>0</v>
      </c>
      <c r="J638" s="5">
        <f t="shared" si="102"/>
        <v>1.1737499999999998</v>
      </c>
      <c r="K638" s="4">
        <f t="shared" si="103"/>
        <v>0.125</v>
      </c>
      <c r="L638" s="4">
        <f t="shared" si="104"/>
        <v>1.25</v>
      </c>
      <c r="M638" s="5">
        <f t="shared" si="105"/>
        <v>0.33642578125</v>
      </c>
      <c r="N638" s="17">
        <f t="shared" si="107"/>
        <v>14400</v>
      </c>
      <c r="O638" s="32">
        <f t="shared" si="108"/>
        <v>0.8778076171874998</v>
      </c>
      <c r="AG638" t="s">
        <v>393</v>
      </c>
      <c r="AH638" t="s">
        <v>583</v>
      </c>
      <c r="AI638">
        <v>8</v>
      </c>
      <c r="AJ638">
        <v>8</v>
      </c>
      <c r="AK638">
        <v>4</v>
      </c>
      <c r="AL638">
        <v>0</v>
      </c>
      <c r="AM638">
        <v>530</v>
      </c>
      <c r="AN638">
        <v>530</v>
      </c>
      <c r="AO638">
        <v>526</v>
      </c>
      <c r="AQ638" s="27">
        <f t="shared" si="106"/>
        <v>563.4</v>
      </c>
    </row>
    <row r="639" spans="1:43" ht="12.75">
      <c r="A639" s="1" t="s">
        <v>567</v>
      </c>
      <c r="B639" s="7" t="s">
        <v>2038</v>
      </c>
      <c r="C639" t="s">
        <v>402</v>
      </c>
      <c r="D639" s="19">
        <v>1</v>
      </c>
      <c r="E639" s="7" t="str">
        <f>IF(AH639="S","Always one row per interval","")</f>
        <v>Always one row per interval</v>
      </c>
      <c r="F639" s="19"/>
      <c r="G639" s="4">
        <f>IF(F639&gt;0,F639,IF(PrefetchDBSummary!$C$10="B",AJ639,8))</f>
        <v>8</v>
      </c>
      <c r="H639" s="4">
        <f>PrefetchDBSummary!$C$65</f>
        <v>10</v>
      </c>
      <c r="I639" s="4">
        <f>PrefetchDBSummary!$D$65</f>
        <v>0</v>
      </c>
      <c r="J639" s="5">
        <f aca="true" t="shared" si="109" ref="J639:J702">IF(H639&gt;0,(AQ639)/(AI639*60),IF(I639&gt;0,(AQ639)/(5*60),0))</f>
        <v>3.102</v>
      </c>
      <c r="K639" s="4">
        <f aca="true" t="shared" si="110" ref="K639:K702">IF(H639&gt;0,D639/AI639,IF(I639&gt;0,D639/5,0))</f>
        <v>0.2</v>
      </c>
      <c r="L639" s="4">
        <f aca="true" t="shared" si="111" ref="L639:L702">H639*D639/AI639+I639*D639/5</f>
        <v>2</v>
      </c>
      <c r="M639" s="5">
        <f aca="true" t="shared" si="112" ref="M639:M702">L639*AM639*(1-IF(AP639&gt;0,AP639,$AS$2)*$AS$3)/1024</f>
        <v>0.28234375</v>
      </c>
      <c r="N639" s="17">
        <f t="shared" si="107"/>
        <v>23040</v>
      </c>
      <c r="O639" s="32">
        <f t="shared" si="108"/>
        <v>1.1091796874999997</v>
      </c>
      <c r="AG639" t="s">
        <v>391</v>
      </c>
      <c r="AH639" t="s">
        <v>582</v>
      </c>
      <c r="AI639">
        <v>5</v>
      </c>
      <c r="AJ639">
        <v>32</v>
      </c>
      <c r="AK639">
        <v>22</v>
      </c>
      <c r="AL639">
        <v>19</v>
      </c>
      <c r="AM639">
        <v>278</v>
      </c>
      <c r="AN639">
        <v>1115</v>
      </c>
      <c r="AO639">
        <v>64</v>
      </c>
      <c r="AQ639" s="27">
        <f t="shared" si="106"/>
        <v>930.6</v>
      </c>
    </row>
    <row r="640" spans="1:43" ht="12.75">
      <c r="A640" s="7" t="s">
        <v>1590</v>
      </c>
      <c r="B640" s="7" t="s">
        <v>1606</v>
      </c>
      <c r="C640" t="s">
        <v>1591</v>
      </c>
      <c r="D640" s="19">
        <v>100</v>
      </c>
      <c r="E640" s="7" t="s">
        <v>1972</v>
      </c>
      <c r="F640" s="19"/>
      <c r="G640" s="4">
        <f>IF(F640&gt;0,F640,IF(PrefetchDBSummary!$C$10="B",AJ640,8))</f>
        <v>8</v>
      </c>
      <c r="H640" s="4">
        <f>PrefetchDBSummary!$C$59</f>
        <v>0</v>
      </c>
      <c r="I640" s="4">
        <f>PrefetchDBSummary!$D$59</f>
        <v>0</v>
      </c>
      <c r="J640" s="5">
        <f t="shared" si="109"/>
        <v>0</v>
      </c>
      <c r="K640" s="4">
        <f t="shared" si="110"/>
        <v>0</v>
      </c>
      <c r="L640" s="4">
        <f t="shared" si="111"/>
        <v>0</v>
      </c>
      <c r="M640" s="5">
        <f t="shared" si="112"/>
        <v>0</v>
      </c>
      <c r="N640" s="17">
        <f t="shared" si="107"/>
        <v>0</v>
      </c>
      <c r="O640" s="32">
        <f t="shared" si="108"/>
        <v>0</v>
      </c>
      <c r="AG640" t="s">
        <v>1607</v>
      </c>
      <c r="AH640" t="s">
        <v>583</v>
      </c>
      <c r="AI640">
        <v>3</v>
      </c>
      <c r="AJ640">
        <v>32</v>
      </c>
      <c r="AK640">
        <v>6</v>
      </c>
      <c r="AL640">
        <v>2</v>
      </c>
      <c r="AM640">
        <v>118</v>
      </c>
      <c r="AN640">
        <v>196</v>
      </c>
      <c r="AO640">
        <v>84</v>
      </c>
      <c r="AQ640" s="27">
        <f aca="true" t="shared" si="113" ref="AQ640:AQ703">250+19*AK640+D640*(23+(AM640-AO640)+AO640*(1-IF(AP640&gt;0,AP640,$AS$2)))</f>
        <v>9424</v>
      </c>
    </row>
    <row r="641" spans="1:43" ht="12.75">
      <c r="A641" s="7" t="s">
        <v>1590</v>
      </c>
      <c r="B641" s="7" t="s">
        <v>1606</v>
      </c>
      <c r="C641" t="s">
        <v>1592</v>
      </c>
      <c r="D641" s="19">
        <v>100</v>
      </c>
      <c r="E641" s="7" t="s">
        <v>1973</v>
      </c>
      <c r="F641" s="19"/>
      <c r="G641" s="4">
        <f>IF(F641&gt;0,F641,IF(PrefetchDBSummary!$C$10="B",AJ641,8))</f>
        <v>8</v>
      </c>
      <c r="H641" s="4">
        <f>PrefetchDBSummary!$C$59</f>
        <v>0</v>
      </c>
      <c r="I641" s="4">
        <f>PrefetchDBSummary!$D$59</f>
        <v>0</v>
      </c>
      <c r="J641" s="5">
        <f t="shared" si="109"/>
        <v>0</v>
      </c>
      <c r="K641" s="4">
        <f t="shared" si="110"/>
        <v>0</v>
      </c>
      <c r="L641" s="4">
        <f t="shared" si="111"/>
        <v>0</v>
      </c>
      <c r="M641" s="5">
        <f t="shared" si="112"/>
        <v>0</v>
      </c>
      <c r="N641" s="17">
        <f t="shared" si="107"/>
        <v>0</v>
      </c>
      <c r="O641" s="32">
        <f t="shared" si="108"/>
        <v>0</v>
      </c>
      <c r="AG641" t="s">
        <v>1608</v>
      </c>
      <c r="AH641" t="s">
        <v>583</v>
      </c>
      <c r="AI641">
        <v>3</v>
      </c>
      <c r="AJ641">
        <v>32</v>
      </c>
      <c r="AK641">
        <v>11</v>
      </c>
      <c r="AL641">
        <v>3</v>
      </c>
      <c r="AM641">
        <v>559</v>
      </c>
      <c r="AN641">
        <v>676</v>
      </c>
      <c r="AO641">
        <v>532</v>
      </c>
      <c r="AQ641" s="27">
        <f t="shared" si="113"/>
        <v>26739</v>
      </c>
    </row>
    <row r="642" spans="1:43" ht="12.75">
      <c r="A642" s="7" t="s">
        <v>1590</v>
      </c>
      <c r="B642" s="7" t="s">
        <v>1606</v>
      </c>
      <c r="C642" t="s">
        <v>1593</v>
      </c>
      <c r="D642" s="4">
        <f>PrefetchDBSummary!E$59</f>
        <v>1000</v>
      </c>
      <c r="E642" s="7" t="s">
        <v>1978</v>
      </c>
      <c r="F642" s="19"/>
      <c r="G642" s="4">
        <f>IF(F642&gt;0,F642,IF(PrefetchDBSummary!$C$10="B",AJ642,8))</f>
        <v>8</v>
      </c>
      <c r="H642" s="4">
        <f>PrefetchDBSummary!$C$59</f>
        <v>0</v>
      </c>
      <c r="I642" s="4">
        <f>PrefetchDBSummary!$D$59</f>
        <v>0</v>
      </c>
      <c r="J642" s="5">
        <f t="shared" si="109"/>
        <v>0</v>
      </c>
      <c r="K642" s="4">
        <f t="shared" si="110"/>
        <v>0</v>
      </c>
      <c r="L642" s="4">
        <f t="shared" si="111"/>
        <v>0</v>
      </c>
      <c r="M642" s="5">
        <f t="shared" si="112"/>
        <v>0</v>
      </c>
      <c r="N642" s="17">
        <f t="shared" si="107"/>
        <v>0</v>
      </c>
      <c r="O642" s="32">
        <f t="shared" si="108"/>
        <v>0</v>
      </c>
      <c r="AG642" t="s">
        <v>1609</v>
      </c>
      <c r="AH642" t="s">
        <v>583</v>
      </c>
      <c r="AI642">
        <v>3</v>
      </c>
      <c r="AJ642">
        <v>8</v>
      </c>
      <c r="AK642">
        <v>9</v>
      </c>
      <c r="AL642">
        <v>0</v>
      </c>
      <c r="AM642">
        <v>1465</v>
      </c>
      <c r="AN642">
        <v>1465</v>
      </c>
      <c r="AO642">
        <v>1436</v>
      </c>
      <c r="AQ642" s="27">
        <f t="shared" si="113"/>
        <v>626821</v>
      </c>
    </row>
    <row r="643" spans="1:43" ht="12.75">
      <c r="A643" s="7" t="s">
        <v>1590</v>
      </c>
      <c r="B643" s="7" t="s">
        <v>1606</v>
      </c>
      <c r="C643" t="s">
        <v>1594</v>
      </c>
      <c r="D643" s="19">
        <v>5000</v>
      </c>
      <c r="E643" s="7" t="s">
        <v>1974</v>
      </c>
      <c r="F643" s="19"/>
      <c r="G643" s="4">
        <f>IF(F643&gt;0,F643,IF(PrefetchDBSummary!$C$10="B",AJ643,8))</f>
        <v>8</v>
      </c>
      <c r="H643" s="4">
        <f>PrefetchDBSummary!$C$59</f>
        <v>0</v>
      </c>
      <c r="I643" s="4">
        <f>PrefetchDBSummary!$D$59</f>
        <v>0</v>
      </c>
      <c r="J643" s="5">
        <f t="shared" si="109"/>
        <v>0</v>
      </c>
      <c r="K643" s="4">
        <f t="shared" si="110"/>
        <v>0</v>
      </c>
      <c r="L643" s="4">
        <f t="shared" si="111"/>
        <v>0</v>
      </c>
      <c r="M643" s="5">
        <f t="shared" si="112"/>
        <v>0</v>
      </c>
      <c r="N643" s="17">
        <f t="shared" si="107"/>
        <v>0</v>
      </c>
      <c r="O643" s="32">
        <f t="shared" si="108"/>
        <v>0</v>
      </c>
      <c r="AG643" t="s">
        <v>1610</v>
      </c>
      <c r="AH643" t="s">
        <v>583</v>
      </c>
      <c r="AI643">
        <v>3</v>
      </c>
      <c r="AJ643">
        <v>32</v>
      </c>
      <c r="AK643">
        <v>9</v>
      </c>
      <c r="AL643">
        <v>1</v>
      </c>
      <c r="AM643">
        <v>833</v>
      </c>
      <c r="AN643">
        <v>876</v>
      </c>
      <c r="AO643">
        <v>800</v>
      </c>
      <c r="AQ643" s="27">
        <f t="shared" si="113"/>
        <v>1880421</v>
      </c>
    </row>
    <row r="644" spans="1:43" ht="12.75">
      <c r="A644" s="7" t="s">
        <v>1590</v>
      </c>
      <c r="B644" s="7" t="s">
        <v>1606</v>
      </c>
      <c r="C644" t="s">
        <v>1595</v>
      </c>
      <c r="D644" s="4">
        <f>PrefetchDBSummary!E$59</f>
        <v>1000</v>
      </c>
      <c r="E644" s="7" t="s">
        <v>1979</v>
      </c>
      <c r="F644" s="19"/>
      <c r="G644" s="4">
        <f>IF(F644&gt;0,F644,IF(PrefetchDBSummary!$C$10="B",AJ644,8))</f>
        <v>8</v>
      </c>
      <c r="H644" s="4">
        <f>PrefetchDBSummary!$C$59</f>
        <v>0</v>
      </c>
      <c r="I644" s="4">
        <f>PrefetchDBSummary!$D$59</f>
        <v>0</v>
      </c>
      <c r="J644" s="5">
        <f t="shared" si="109"/>
        <v>0</v>
      </c>
      <c r="K644" s="4">
        <f t="shared" si="110"/>
        <v>0</v>
      </c>
      <c r="L644" s="4">
        <f t="shared" si="111"/>
        <v>0</v>
      </c>
      <c r="M644" s="5">
        <f t="shared" si="112"/>
        <v>0</v>
      </c>
      <c r="N644" s="17">
        <f t="shared" si="107"/>
        <v>0</v>
      </c>
      <c r="O644" s="32">
        <f t="shared" si="108"/>
        <v>0</v>
      </c>
      <c r="AG644" t="s">
        <v>1611</v>
      </c>
      <c r="AH644" t="s">
        <v>583</v>
      </c>
      <c r="AI644">
        <v>3</v>
      </c>
      <c r="AJ644">
        <v>8</v>
      </c>
      <c r="AK644">
        <v>9</v>
      </c>
      <c r="AL644">
        <v>0</v>
      </c>
      <c r="AM644">
        <v>1465</v>
      </c>
      <c r="AN644">
        <v>1465</v>
      </c>
      <c r="AO644">
        <v>1436</v>
      </c>
      <c r="AQ644" s="27">
        <f t="shared" si="113"/>
        <v>626821</v>
      </c>
    </row>
    <row r="645" spans="1:43" ht="12.75">
      <c r="A645" s="7" t="s">
        <v>1590</v>
      </c>
      <c r="B645" s="7" t="s">
        <v>1606</v>
      </c>
      <c r="C645" t="s">
        <v>1596</v>
      </c>
      <c r="D645" s="19">
        <v>100</v>
      </c>
      <c r="E645" s="7" t="s">
        <v>1972</v>
      </c>
      <c r="F645" s="19"/>
      <c r="G645" s="4">
        <f>IF(F645&gt;0,F645,IF(PrefetchDBSummary!$C$10="B",AJ645,8))</f>
        <v>8</v>
      </c>
      <c r="H645" s="4">
        <f>PrefetchDBSummary!$C$59</f>
        <v>0</v>
      </c>
      <c r="I645" s="4">
        <f>PrefetchDBSummary!$D$59</f>
        <v>0</v>
      </c>
      <c r="J645" s="5">
        <f t="shared" si="109"/>
        <v>0</v>
      </c>
      <c r="K645" s="4">
        <f t="shared" si="110"/>
        <v>0</v>
      </c>
      <c r="L645" s="4">
        <f t="shared" si="111"/>
        <v>0</v>
      </c>
      <c r="M645" s="5">
        <f t="shared" si="112"/>
        <v>0</v>
      </c>
      <c r="N645" s="17">
        <f t="shared" si="107"/>
        <v>0</v>
      </c>
      <c r="O645" s="32">
        <f t="shared" si="108"/>
        <v>0</v>
      </c>
      <c r="AG645" t="s">
        <v>1612</v>
      </c>
      <c r="AH645" t="s">
        <v>583</v>
      </c>
      <c r="AI645">
        <v>3</v>
      </c>
      <c r="AJ645">
        <v>32</v>
      </c>
      <c r="AK645">
        <v>4</v>
      </c>
      <c r="AL645">
        <v>0</v>
      </c>
      <c r="AM645">
        <v>104</v>
      </c>
      <c r="AN645">
        <v>104</v>
      </c>
      <c r="AO645">
        <v>96</v>
      </c>
      <c r="AQ645" s="27">
        <f t="shared" si="113"/>
        <v>7266.000000000001</v>
      </c>
    </row>
    <row r="646" spans="1:43" ht="12.75">
      <c r="A646" s="7" t="s">
        <v>1590</v>
      </c>
      <c r="B646" s="7" t="s">
        <v>1606</v>
      </c>
      <c r="C646" t="s">
        <v>1597</v>
      </c>
      <c r="D646" s="19">
        <v>1</v>
      </c>
      <c r="E646" s="7" t="s">
        <v>710</v>
      </c>
      <c r="F646" s="19"/>
      <c r="G646" s="4">
        <f>IF(F646&gt;0,F646,IF(PrefetchDBSummary!$C$10="B",AJ646,8))</f>
        <v>8</v>
      </c>
      <c r="H646" s="4">
        <f>PrefetchDBSummary!$C$59</f>
        <v>0</v>
      </c>
      <c r="I646" s="4">
        <f>PrefetchDBSummary!$D$59</f>
        <v>0</v>
      </c>
      <c r="J646" s="5">
        <f t="shared" si="109"/>
        <v>0</v>
      </c>
      <c r="K646" s="4">
        <f t="shared" si="110"/>
        <v>0</v>
      </c>
      <c r="L646" s="4">
        <f t="shared" si="111"/>
        <v>0</v>
      </c>
      <c r="M646" s="5">
        <f t="shared" si="112"/>
        <v>0</v>
      </c>
      <c r="N646" s="17">
        <f t="shared" si="107"/>
        <v>0</v>
      </c>
      <c r="O646" s="32">
        <f t="shared" si="108"/>
        <v>0</v>
      </c>
      <c r="AG646" t="s">
        <v>1613</v>
      </c>
      <c r="AH646" t="s">
        <v>582</v>
      </c>
      <c r="AI646">
        <v>3</v>
      </c>
      <c r="AJ646">
        <v>8</v>
      </c>
      <c r="AK646">
        <v>6</v>
      </c>
      <c r="AL646">
        <v>1</v>
      </c>
      <c r="AM646">
        <v>330</v>
      </c>
      <c r="AN646">
        <v>369</v>
      </c>
      <c r="AO646">
        <v>320</v>
      </c>
      <c r="AQ646" s="27">
        <f t="shared" si="113"/>
        <v>525</v>
      </c>
    </row>
    <row r="647" spans="1:43" ht="12.75">
      <c r="A647" s="7" t="s">
        <v>1590</v>
      </c>
      <c r="B647" s="7" t="s">
        <v>1606</v>
      </c>
      <c r="C647" t="s">
        <v>1598</v>
      </c>
      <c r="D647" s="19">
        <v>100</v>
      </c>
      <c r="E647" s="7" t="s">
        <v>1973</v>
      </c>
      <c r="F647" s="19"/>
      <c r="G647" s="4">
        <f>IF(F647&gt;0,F647,IF(PrefetchDBSummary!$C$10="B",AJ647,8))</f>
        <v>8</v>
      </c>
      <c r="H647" s="4">
        <f>PrefetchDBSummary!$C$59</f>
        <v>0</v>
      </c>
      <c r="I647" s="4">
        <f>PrefetchDBSummary!$D$59</f>
        <v>0</v>
      </c>
      <c r="J647" s="5">
        <f t="shared" si="109"/>
        <v>0</v>
      </c>
      <c r="K647" s="4">
        <f t="shared" si="110"/>
        <v>0</v>
      </c>
      <c r="L647" s="4">
        <f t="shared" si="111"/>
        <v>0</v>
      </c>
      <c r="M647" s="5">
        <f t="shared" si="112"/>
        <v>0</v>
      </c>
      <c r="N647" s="17">
        <f t="shared" si="107"/>
        <v>0</v>
      </c>
      <c r="O647" s="32">
        <f t="shared" si="108"/>
        <v>0</v>
      </c>
      <c r="AG647" t="s">
        <v>1614</v>
      </c>
      <c r="AH647" t="s">
        <v>583</v>
      </c>
      <c r="AI647">
        <v>3</v>
      </c>
      <c r="AJ647">
        <v>8</v>
      </c>
      <c r="AK647">
        <v>10</v>
      </c>
      <c r="AL647">
        <v>3</v>
      </c>
      <c r="AM647">
        <v>1270</v>
      </c>
      <c r="AN647">
        <v>1399</v>
      </c>
      <c r="AO647">
        <v>1216</v>
      </c>
      <c r="AQ647" s="27">
        <f t="shared" si="113"/>
        <v>56780.00000000001</v>
      </c>
    </row>
    <row r="648" spans="1:43" ht="12.75">
      <c r="A648" s="7" t="s">
        <v>1590</v>
      </c>
      <c r="B648" s="7" t="s">
        <v>1606</v>
      </c>
      <c r="C648" t="s">
        <v>1599</v>
      </c>
      <c r="D648" s="19">
        <v>20</v>
      </c>
      <c r="E648" s="7" t="s">
        <v>1975</v>
      </c>
      <c r="F648" s="19"/>
      <c r="G648" s="4">
        <f>IF(F648&gt;0,F648,IF(PrefetchDBSummary!$C$10="B",AJ648,8))</f>
        <v>8</v>
      </c>
      <c r="H648" s="4">
        <f>PrefetchDBSummary!$C$59</f>
        <v>0</v>
      </c>
      <c r="I648" s="4">
        <f>PrefetchDBSummary!$D$59</f>
        <v>0</v>
      </c>
      <c r="J648" s="5">
        <f t="shared" si="109"/>
        <v>0</v>
      </c>
      <c r="K648" s="4">
        <f t="shared" si="110"/>
        <v>0</v>
      </c>
      <c r="L648" s="4">
        <f t="shared" si="111"/>
        <v>0</v>
      </c>
      <c r="M648" s="5">
        <f t="shared" si="112"/>
        <v>0</v>
      </c>
      <c r="N648" s="17">
        <f t="shared" si="107"/>
        <v>0</v>
      </c>
      <c r="O648" s="32">
        <f t="shared" si="108"/>
        <v>0</v>
      </c>
      <c r="AG648" t="s">
        <v>1615</v>
      </c>
      <c r="AH648" t="s">
        <v>583</v>
      </c>
      <c r="AI648">
        <v>3</v>
      </c>
      <c r="AJ648">
        <v>8</v>
      </c>
      <c r="AK648">
        <v>6</v>
      </c>
      <c r="AL648">
        <v>0</v>
      </c>
      <c r="AM648">
        <v>262</v>
      </c>
      <c r="AN648">
        <v>262</v>
      </c>
      <c r="AO648">
        <v>232</v>
      </c>
      <c r="AQ648" s="27">
        <f t="shared" si="113"/>
        <v>3280</v>
      </c>
    </row>
    <row r="649" spans="1:43" ht="12.75">
      <c r="A649" s="7" t="s">
        <v>1590</v>
      </c>
      <c r="B649" s="7" t="s">
        <v>1606</v>
      </c>
      <c r="C649" t="s">
        <v>1600</v>
      </c>
      <c r="D649" s="4">
        <f>PrefetchDBSummary!E$59</f>
        <v>1000</v>
      </c>
      <c r="E649" s="7" t="s">
        <v>1981</v>
      </c>
      <c r="F649" s="19"/>
      <c r="G649" s="4">
        <f>IF(F649&gt;0,F649,IF(PrefetchDBSummary!$C$10="B",AJ649,8))</f>
        <v>8</v>
      </c>
      <c r="H649" s="4">
        <f>PrefetchDBSummary!$C$59</f>
        <v>0</v>
      </c>
      <c r="I649" s="4">
        <f>PrefetchDBSummary!$D$59</f>
        <v>0</v>
      </c>
      <c r="J649" s="5">
        <f t="shared" si="109"/>
        <v>0</v>
      </c>
      <c r="K649" s="4">
        <f t="shared" si="110"/>
        <v>0</v>
      </c>
      <c r="L649" s="4">
        <f t="shared" si="111"/>
        <v>0</v>
      </c>
      <c r="M649" s="5">
        <f t="shared" si="112"/>
        <v>0</v>
      </c>
      <c r="N649" s="17">
        <f t="shared" si="107"/>
        <v>0</v>
      </c>
      <c r="O649" s="32">
        <f t="shared" si="108"/>
        <v>0</v>
      </c>
      <c r="AG649" t="s">
        <v>1616</v>
      </c>
      <c r="AH649" t="s">
        <v>583</v>
      </c>
      <c r="AI649">
        <v>3</v>
      </c>
      <c r="AJ649">
        <v>8</v>
      </c>
      <c r="AK649">
        <v>9</v>
      </c>
      <c r="AL649">
        <v>0</v>
      </c>
      <c r="AM649">
        <v>1465</v>
      </c>
      <c r="AN649">
        <v>1465</v>
      </c>
      <c r="AO649">
        <v>1436</v>
      </c>
      <c r="AQ649" s="27">
        <f t="shared" si="113"/>
        <v>626821</v>
      </c>
    </row>
    <row r="650" spans="1:43" ht="12.75">
      <c r="A650" s="7" t="s">
        <v>1590</v>
      </c>
      <c r="B650" s="7" t="s">
        <v>1606</v>
      </c>
      <c r="C650" t="s">
        <v>1601</v>
      </c>
      <c r="D650" s="19">
        <v>100</v>
      </c>
      <c r="E650" s="7" t="s">
        <v>1976</v>
      </c>
      <c r="F650" s="19"/>
      <c r="G650" s="4">
        <f>IF(F650&gt;0,F650,IF(PrefetchDBSummary!$C$10="B",AJ650,8))</f>
        <v>8</v>
      </c>
      <c r="H650" s="4">
        <f>PrefetchDBSummary!$C$59</f>
        <v>0</v>
      </c>
      <c r="I650" s="4">
        <f>PrefetchDBSummary!$D$59</f>
        <v>0</v>
      </c>
      <c r="J650" s="5">
        <f t="shared" si="109"/>
        <v>0</v>
      </c>
      <c r="K650" s="4">
        <f t="shared" si="110"/>
        <v>0</v>
      </c>
      <c r="L650" s="4">
        <f t="shared" si="111"/>
        <v>0</v>
      </c>
      <c r="M650" s="5">
        <f t="shared" si="112"/>
        <v>0</v>
      </c>
      <c r="N650" s="17">
        <f t="shared" si="107"/>
        <v>0</v>
      </c>
      <c r="O650" s="32">
        <f t="shared" si="108"/>
        <v>0</v>
      </c>
      <c r="AG650" t="s">
        <v>1617</v>
      </c>
      <c r="AH650" t="s">
        <v>583</v>
      </c>
      <c r="AI650">
        <v>3</v>
      </c>
      <c r="AJ650">
        <v>32</v>
      </c>
      <c r="AK650">
        <v>7</v>
      </c>
      <c r="AL650">
        <v>1</v>
      </c>
      <c r="AM650">
        <v>367</v>
      </c>
      <c r="AN650">
        <v>410</v>
      </c>
      <c r="AO650">
        <v>352</v>
      </c>
      <c r="AQ650" s="27">
        <f t="shared" si="113"/>
        <v>18263</v>
      </c>
    </row>
    <row r="651" spans="1:43" ht="12.75">
      <c r="A651" s="7" t="s">
        <v>1590</v>
      </c>
      <c r="B651" s="7" t="s">
        <v>1606</v>
      </c>
      <c r="C651" t="s">
        <v>1602</v>
      </c>
      <c r="D651" s="19">
        <v>1000</v>
      </c>
      <c r="E651" s="7" t="s">
        <v>1977</v>
      </c>
      <c r="F651" s="19"/>
      <c r="G651" s="4">
        <f>IF(F651&gt;0,F651,IF(PrefetchDBSummary!$C$10="B",AJ651,8))</f>
        <v>8</v>
      </c>
      <c r="H651" s="4">
        <f>PrefetchDBSummary!$C$59</f>
        <v>0</v>
      </c>
      <c r="I651" s="4">
        <f>PrefetchDBSummary!$D$59</f>
        <v>0</v>
      </c>
      <c r="J651" s="5">
        <f t="shared" si="109"/>
        <v>0</v>
      </c>
      <c r="K651" s="4">
        <f t="shared" si="110"/>
        <v>0</v>
      </c>
      <c r="L651" s="4">
        <f t="shared" si="111"/>
        <v>0</v>
      </c>
      <c r="M651" s="5">
        <f t="shared" si="112"/>
        <v>0</v>
      </c>
      <c r="N651" s="17">
        <f t="shared" si="107"/>
        <v>0</v>
      </c>
      <c r="O651" s="32">
        <f t="shared" si="108"/>
        <v>0</v>
      </c>
      <c r="AG651" t="s">
        <v>1618</v>
      </c>
      <c r="AH651" t="s">
        <v>583</v>
      </c>
      <c r="AI651">
        <v>3</v>
      </c>
      <c r="AJ651">
        <v>32</v>
      </c>
      <c r="AK651">
        <v>14</v>
      </c>
      <c r="AL651">
        <v>2</v>
      </c>
      <c r="AM651">
        <v>762</v>
      </c>
      <c r="AN651">
        <v>844</v>
      </c>
      <c r="AO651">
        <v>736</v>
      </c>
      <c r="AQ651" s="27">
        <f t="shared" si="113"/>
        <v>343916.00000000006</v>
      </c>
    </row>
    <row r="652" spans="1:43" ht="12.75">
      <c r="A652" s="7" t="s">
        <v>1590</v>
      </c>
      <c r="B652" s="7" t="s">
        <v>1606</v>
      </c>
      <c r="C652" t="s">
        <v>1603</v>
      </c>
      <c r="D652" s="19">
        <v>1</v>
      </c>
      <c r="E652" s="7" t="s">
        <v>710</v>
      </c>
      <c r="F652" s="19"/>
      <c r="G652" s="4">
        <f>IF(F652&gt;0,F652,IF(PrefetchDBSummary!$C$10="B",AJ652,8))</f>
        <v>8</v>
      </c>
      <c r="H652" s="4">
        <f>PrefetchDBSummary!$C$59</f>
        <v>0</v>
      </c>
      <c r="I652" s="4">
        <f>PrefetchDBSummary!$D$59</f>
        <v>0</v>
      </c>
      <c r="J652" s="5">
        <f t="shared" si="109"/>
        <v>0</v>
      </c>
      <c r="K652" s="4">
        <f t="shared" si="110"/>
        <v>0</v>
      </c>
      <c r="L652" s="4">
        <f t="shared" si="111"/>
        <v>0</v>
      </c>
      <c r="M652" s="5">
        <f t="shared" si="112"/>
        <v>0</v>
      </c>
      <c r="N652" s="17">
        <f t="shared" si="107"/>
        <v>0</v>
      </c>
      <c r="O652" s="32">
        <f t="shared" si="108"/>
        <v>0</v>
      </c>
      <c r="AG652" t="s">
        <v>1619</v>
      </c>
      <c r="AH652" t="s">
        <v>582</v>
      </c>
      <c r="AI652">
        <v>3</v>
      </c>
      <c r="AJ652">
        <v>32</v>
      </c>
      <c r="AK652">
        <v>9</v>
      </c>
      <c r="AL652">
        <v>8</v>
      </c>
      <c r="AM652">
        <v>73</v>
      </c>
      <c r="AN652">
        <v>385</v>
      </c>
      <c r="AO652">
        <v>32</v>
      </c>
      <c r="AQ652" s="27">
        <f t="shared" si="113"/>
        <v>497.8</v>
      </c>
    </row>
    <row r="653" spans="1:43" ht="12.75">
      <c r="A653" s="7" t="s">
        <v>1590</v>
      </c>
      <c r="B653" s="7" t="s">
        <v>1606</v>
      </c>
      <c r="C653" t="s">
        <v>1604</v>
      </c>
      <c r="D653" s="19">
        <v>100</v>
      </c>
      <c r="E653" s="7" t="s">
        <v>1973</v>
      </c>
      <c r="F653" s="19"/>
      <c r="G653" s="4">
        <f>IF(F653&gt;0,F653,IF(PrefetchDBSummary!$C$10="B",AJ653,8))</f>
        <v>8</v>
      </c>
      <c r="H653" s="4">
        <f>PrefetchDBSummary!$C$59</f>
        <v>0</v>
      </c>
      <c r="I653" s="4">
        <f>PrefetchDBSummary!$D$59</f>
        <v>0</v>
      </c>
      <c r="J653" s="5">
        <f t="shared" si="109"/>
        <v>0</v>
      </c>
      <c r="K653" s="4">
        <f t="shared" si="110"/>
        <v>0</v>
      </c>
      <c r="L653" s="4">
        <f t="shared" si="111"/>
        <v>0</v>
      </c>
      <c r="M653" s="5">
        <f t="shared" si="112"/>
        <v>0</v>
      </c>
      <c r="N653" s="17">
        <f t="shared" si="107"/>
        <v>0</v>
      </c>
      <c r="O653" s="32">
        <f t="shared" si="108"/>
        <v>0</v>
      </c>
      <c r="AG653" t="s">
        <v>1620</v>
      </c>
      <c r="AH653" t="s">
        <v>583</v>
      </c>
      <c r="AI653">
        <v>3</v>
      </c>
      <c r="AJ653">
        <v>8</v>
      </c>
      <c r="AK653">
        <v>10</v>
      </c>
      <c r="AL653">
        <v>1</v>
      </c>
      <c r="AM653">
        <v>622</v>
      </c>
      <c r="AN653">
        <v>661</v>
      </c>
      <c r="AO653">
        <v>608</v>
      </c>
      <c r="AQ653" s="27">
        <f t="shared" si="113"/>
        <v>28460.000000000004</v>
      </c>
    </row>
    <row r="654" spans="1:43" ht="12.75">
      <c r="A654" s="7" t="s">
        <v>1590</v>
      </c>
      <c r="B654" s="7" t="s">
        <v>1606</v>
      </c>
      <c r="C654" t="s">
        <v>1605</v>
      </c>
      <c r="D654" s="19">
        <v>1</v>
      </c>
      <c r="E654" s="7" t="s">
        <v>710</v>
      </c>
      <c r="F654" s="19"/>
      <c r="G654" s="4">
        <f>IF(F654&gt;0,F654,IF(PrefetchDBSummary!$C$10="B",AJ654,8))</f>
        <v>8</v>
      </c>
      <c r="H654" s="4">
        <f>PrefetchDBSummary!$C$59</f>
        <v>0</v>
      </c>
      <c r="I654" s="4">
        <f>PrefetchDBSummary!$D$59</f>
        <v>0</v>
      </c>
      <c r="J654" s="5">
        <f t="shared" si="109"/>
        <v>0</v>
      </c>
      <c r="K654" s="4">
        <f t="shared" si="110"/>
        <v>0</v>
      </c>
      <c r="L654" s="4">
        <f t="shared" si="111"/>
        <v>0</v>
      </c>
      <c r="M654" s="5">
        <f t="shared" si="112"/>
        <v>0</v>
      </c>
      <c r="N654" s="17">
        <f t="shared" si="107"/>
        <v>0</v>
      </c>
      <c r="O654" s="32">
        <f t="shared" si="108"/>
        <v>0</v>
      </c>
      <c r="AG654" t="s">
        <v>1621</v>
      </c>
      <c r="AH654" t="s">
        <v>582</v>
      </c>
      <c r="AI654">
        <v>3</v>
      </c>
      <c r="AJ654">
        <v>32</v>
      </c>
      <c r="AK654">
        <v>4</v>
      </c>
      <c r="AL654">
        <v>2</v>
      </c>
      <c r="AM654">
        <v>60</v>
      </c>
      <c r="AN654">
        <v>138</v>
      </c>
      <c r="AO654">
        <v>32</v>
      </c>
      <c r="AQ654" s="27">
        <f t="shared" si="113"/>
        <v>389.8</v>
      </c>
    </row>
    <row r="655" spans="1:43" ht="12.75">
      <c r="A655" s="1" t="s">
        <v>568</v>
      </c>
      <c r="B655" s="7" t="s">
        <v>2037</v>
      </c>
      <c r="C655" t="s">
        <v>1370</v>
      </c>
      <c r="D655" s="19">
        <v>3</v>
      </c>
      <c r="E655" s="7" t="s">
        <v>722</v>
      </c>
      <c r="F655" s="19"/>
      <c r="G655" s="4">
        <f>IF(F655&gt;0,F655,IF(PrefetchDBSummary!$C$10="B",AJ655,8))</f>
        <v>8</v>
      </c>
      <c r="H655" s="4">
        <f>PrefetchDBSummary!C$27</f>
        <v>0</v>
      </c>
      <c r="I655" s="4">
        <f>PrefetchDBSummary!D$27</f>
        <v>0</v>
      </c>
      <c r="J655" s="5">
        <f t="shared" si="109"/>
        <v>0</v>
      </c>
      <c r="K655" s="4">
        <f t="shared" si="110"/>
        <v>0</v>
      </c>
      <c r="L655" s="4">
        <f t="shared" si="111"/>
        <v>0</v>
      </c>
      <c r="M655" s="5">
        <f t="shared" si="112"/>
        <v>0</v>
      </c>
      <c r="N655" s="17">
        <f t="shared" si="107"/>
        <v>0</v>
      </c>
      <c r="O655" s="32">
        <f t="shared" si="108"/>
        <v>0</v>
      </c>
      <c r="AG655" t="s">
        <v>1376</v>
      </c>
      <c r="AH655" t="s">
        <v>583</v>
      </c>
      <c r="AI655">
        <v>8</v>
      </c>
      <c r="AJ655">
        <v>32</v>
      </c>
      <c r="AK655">
        <v>6</v>
      </c>
      <c r="AL655">
        <v>3</v>
      </c>
      <c r="AM655">
        <v>572</v>
      </c>
      <c r="AN655">
        <v>701</v>
      </c>
      <c r="AO655">
        <v>542</v>
      </c>
      <c r="AQ655" s="27">
        <f t="shared" si="113"/>
        <v>1173.4</v>
      </c>
    </row>
    <row r="656" spans="1:43" ht="12.75">
      <c r="A656" s="1" t="s">
        <v>568</v>
      </c>
      <c r="B656" s="7" t="s">
        <v>2037</v>
      </c>
      <c r="C656" t="s">
        <v>1469</v>
      </c>
      <c r="D656" s="19">
        <v>9</v>
      </c>
      <c r="E656" s="7" t="s">
        <v>1913</v>
      </c>
      <c r="F656" s="19"/>
      <c r="G656" s="4">
        <f>IF(F656&gt;0,F656,IF(PrefetchDBSummary!$C$10="B",AJ656,8))</f>
        <v>8</v>
      </c>
      <c r="H656" s="4">
        <f>PrefetchDBSummary!C$27</f>
        <v>0</v>
      </c>
      <c r="I656" s="4">
        <f>PrefetchDBSummary!D$27</f>
        <v>0</v>
      </c>
      <c r="J656" s="5">
        <f t="shared" si="109"/>
        <v>0</v>
      </c>
      <c r="K656" s="4">
        <f t="shared" si="110"/>
        <v>0</v>
      </c>
      <c r="L656" s="4">
        <f t="shared" si="111"/>
        <v>0</v>
      </c>
      <c r="M656" s="5">
        <f t="shared" si="112"/>
        <v>0</v>
      </c>
      <c r="N656" s="17">
        <f t="shared" si="107"/>
        <v>0</v>
      </c>
      <c r="O656" s="32">
        <f t="shared" si="108"/>
        <v>0</v>
      </c>
      <c r="AG656" t="s">
        <v>1471</v>
      </c>
      <c r="AH656" t="s">
        <v>583</v>
      </c>
      <c r="AI656">
        <v>8</v>
      </c>
      <c r="AJ656">
        <v>8</v>
      </c>
      <c r="AK656">
        <v>12</v>
      </c>
      <c r="AL656">
        <v>3</v>
      </c>
      <c r="AM656">
        <v>1941</v>
      </c>
      <c r="AN656">
        <v>2094</v>
      </c>
      <c r="AO656">
        <v>1881</v>
      </c>
      <c r="AQ656" s="27">
        <f t="shared" si="113"/>
        <v>7996.6</v>
      </c>
    </row>
    <row r="657" spans="1:43" ht="12.75">
      <c r="A657" s="1" t="s">
        <v>568</v>
      </c>
      <c r="B657" s="7" t="s">
        <v>2037</v>
      </c>
      <c r="C657" t="s">
        <v>1470</v>
      </c>
      <c r="D657" s="19">
        <v>2</v>
      </c>
      <c r="E657" s="7" t="s">
        <v>1918</v>
      </c>
      <c r="F657" s="19"/>
      <c r="G657" s="4">
        <f>IF(F657&gt;0,F657,IF(PrefetchDBSummary!$C$10="B",AJ657,8))</f>
        <v>8</v>
      </c>
      <c r="H657" s="4">
        <f>PrefetchDBSummary!C$27</f>
        <v>0</v>
      </c>
      <c r="I657" s="4">
        <f>PrefetchDBSummary!D$27</f>
        <v>0</v>
      </c>
      <c r="J657" s="5">
        <f t="shared" si="109"/>
        <v>0</v>
      </c>
      <c r="K657" s="4">
        <f t="shared" si="110"/>
        <v>0</v>
      </c>
      <c r="L657" s="4">
        <f t="shared" si="111"/>
        <v>0</v>
      </c>
      <c r="M657" s="5">
        <f t="shared" si="112"/>
        <v>0</v>
      </c>
      <c r="N657" s="17">
        <f t="shared" si="107"/>
        <v>0</v>
      </c>
      <c r="O657" s="32">
        <f t="shared" si="108"/>
        <v>0</v>
      </c>
      <c r="AG657" t="s">
        <v>1472</v>
      </c>
      <c r="AH657" t="s">
        <v>583</v>
      </c>
      <c r="AI657">
        <v>8</v>
      </c>
      <c r="AJ657">
        <v>32</v>
      </c>
      <c r="AK657">
        <v>13</v>
      </c>
      <c r="AL657">
        <v>3</v>
      </c>
      <c r="AM657">
        <v>2197</v>
      </c>
      <c r="AN657">
        <v>2350</v>
      </c>
      <c r="AO657">
        <v>2136</v>
      </c>
      <c r="AQ657" s="27">
        <f t="shared" si="113"/>
        <v>2373.8</v>
      </c>
    </row>
    <row r="658" spans="1:43" ht="12.75">
      <c r="A658" s="1" t="s">
        <v>568</v>
      </c>
      <c r="B658" s="7" t="s">
        <v>2037</v>
      </c>
      <c r="C658" t="s">
        <v>1371</v>
      </c>
      <c r="D658" s="19">
        <v>32</v>
      </c>
      <c r="E658" s="7" t="s">
        <v>1919</v>
      </c>
      <c r="F658" s="19"/>
      <c r="G658" s="4">
        <f>IF(F658&gt;0,F658,IF(PrefetchDBSummary!$C$10="B",AJ658,8))</f>
        <v>8</v>
      </c>
      <c r="H658" s="4">
        <f>PrefetchDBSummary!C$27</f>
        <v>0</v>
      </c>
      <c r="I658" s="4">
        <f>PrefetchDBSummary!D$27</f>
        <v>0</v>
      </c>
      <c r="J658" s="5">
        <f t="shared" si="109"/>
        <v>0</v>
      </c>
      <c r="K658" s="4">
        <f t="shared" si="110"/>
        <v>0</v>
      </c>
      <c r="L658" s="4">
        <f t="shared" si="111"/>
        <v>0</v>
      </c>
      <c r="M658" s="5">
        <f t="shared" si="112"/>
        <v>0</v>
      </c>
      <c r="N658" s="17">
        <f t="shared" si="107"/>
        <v>0</v>
      </c>
      <c r="O658" s="32">
        <f t="shared" si="108"/>
        <v>0</v>
      </c>
      <c r="AG658" t="s">
        <v>1377</v>
      </c>
      <c r="AH658" t="s">
        <v>583</v>
      </c>
      <c r="AI658">
        <v>1</v>
      </c>
      <c r="AJ658">
        <v>5</v>
      </c>
      <c r="AK658">
        <v>4</v>
      </c>
      <c r="AL658">
        <v>1</v>
      </c>
      <c r="AM658">
        <v>323</v>
      </c>
      <c r="AN658">
        <v>374</v>
      </c>
      <c r="AO658">
        <v>287</v>
      </c>
      <c r="AQ658" s="27">
        <f t="shared" si="113"/>
        <v>5887.6</v>
      </c>
    </row>
    <row r="659" spans="1:43" ht="12.75">
      <c r="A659" s="1" t="s">
        <v>568</v>
      </c>
      <c r="B659" s="7" t="s">
        <v>2037</v>
      </c>
      <c r="C659" t="s">
        <v>1372</v>
      </c>
      <c r="D659" s="19">
        <v>4</v>
      </c>
      <c r="E659" s="7" t="s">
        <v>1917</v>
      </c>
      <c r="F659" s="19"/>
      <c r="G659" s="4">
        <f>IF(F659&gt;0,F659,IF(PrefetchDBSummary!$C$10="B",AJ659,8))</f>
        <v>8</v>
      </c>
      <c r="H659" s="4">
        <f>PrefetchDBSummary!C$27</f>
        <v>0</v>
      </c>
      <c r="I659" s="4">
        <f>PrefetchDBSummary!D$27</f>
        <v>0</v>
      </c>
      <c r="J659" s="5">
        <f t="shared" si="109"/>
        <v>0</v>
      </c>
      <c r="K659" s="4">
        <f t="shared" si="110"/>
        <v>0</v>
      </c>
      <c r="L659" s="4">
        <f t="shared" si="111"/>
        <v>0</v>
      </c>
      <c r="M659" s="5">
        <f t="shared" si="112"/>
        <v>0</v>
      </c>
      <c r="N659" s="17">
        <f t="shared" si="107"/>
        <v>0</v>
      </c>
      <c r="O659" s="32">
        <f t="shared" si="108"/>
        <v>0</v>
      </c>
      <c r="AG659" t="s">
        <v>1378</v>
      </c>
      <c r="AH659" t="s">
        <v>583</v>
      </c>
      <c r="AI659">
        <v>1</v>
      </c>
      <c r="AJ659">
        <v>5</v>
      </c>
      <c r="AK659">
        <v>4</v>
      </c>
      <c r="AL659">
        <v>1</v>
      </c>
      <c r="AM659">
        <v>323</v>
      </c>
      <c r="AN659">
        <v>374</v>
      </c>
      <c r="AO659">
        <v>287</v>
      </c>
      <c r="AQ659" s="27">
        <f t="shared" si="113"/>
        <v>1021.2</v>
      </c>
    </row>
    <row r="660" spans="1:43" ht="12.75">
      <c r="A660" s="1" t="s">
        <v>568</v>
      </c>
      <c r="B660" s="7" t="s">
        <v>2037</v>
      </c>
      <c r="C660" t="s">
        <v>1373</v>
      </c>
      <c r="D660" s="19">
        <v>8</v>
      </c>
      <c r="E660" s="7" t="s">
        <v>1921</v>
      </c>
      <c r="F660" s="19"/>
      <c r="G660" s="4">
        <f>IF(F660&gt;0,F660,IF(PrefetchDBSummary!$C$10="B",AJ660,8))</f>
        <v>8</v>
      </c>
      <c r="H660" s="4">
        <f>PrefetchDBSummary!C$27</f>
        <v>0</v>
      </c>
      <c r="I660" s="4">
        <f>PrefetchDBSummary!D$27</f>
        <v>0</v>
      </c>
      <c r="J660" s="5">
        <f t="shared" si="109"/>
        <v>0</v>
      </c>
      <c r="K660" s="4">
        <f t="shared" si="110"/>
        <v>0</v>
      </c>
      <c r="L660" s="4">
        <f t="shared" si="111"/>
        <v>0</v>
      </c>
      <c r="M660" s="5">
        <f t="shared" si="112"/>
        <v>0</v>
      </c>
      <c r="N660" s="17">
        <f t="shared" si="107"/>
        <v>0</v>
      </c>
      <c r="O660" s="32">
        <f t="shared" si="108"/>
        <v>0</v>
      </c>
      <c r="AG660" t="s">
        <v>1379</v>
      </c>
      <c r="AH660" t="s">
        <v>583</v>
      </c>
      <c r="AI660">
        <v>1</v>
      </c>
      <c r="AJ660">
        <v>1</v>
      </c>
      <c r="AK660">
        <v>13</v>
      </c>
      <c r="AL660">
        <v>7</v>
      </c>
      <c r="AM660">
        <v>938</v>
      </c>
      <c r="AN660">
        <v>1263</v>
      </c>
      <c r="AO660">
        <v>829</v>
      </c>
      <c r="AQ660" s="27">
        <f t="shared" si="113"/>
        <v>4205.8</v>
      </c>
    </row>
    <row r="661" spans="1:43" ht="12.75">
      <c r="A661" s="1" t="s">
        <v>568</v>
      </c>
      <c r="B661" s="7" t="s">
        <v>2037</v>
      </c>
      <c r="C661" t="s">
        <v>375</v>
      </c>
      <c r="D661" s="19">
        <v>4</v>
      </c>
      <c r="E661" s="7" t="s">
        <v>1920</v>
      </c>
      <c r="F661" s="19"/>
      <c r="G661" s="4">
        <f>IF(F661&gt;0,F661,IF(PrefetchDBSummary!$C$10="B",AJ661,8))</f>
        <v>8</v>
      </c>
      <c r="H661" s="4">
        <f>PrefetchDBSummary!C$27</f>
        <v>0</v>
      </c>
      <c r="I661" s="4">
        <f>PrefetchDBSummary!D$27</f>
        <v>0</v>
      </c>
      <c r="J661" s="5">
        <f t="shared" si="109"/>
        <v>0</v>
      </c>
      <c r="K661" s="4">
        <f t="shared" si="110"/>
        <v>0</v>
      </c>
      <c r="L661" s="4">
        <f t="shared" si="111"/>
        <v>0</v>
      </c>
      <c r="M661" s="5">
        <f t="shared" si="112"/>
        <v>0</v>
      </c>
      <c r="N661" s="17">
        <f t="shared" si="107"/>
        <v>0</v>
      </c>
      <c r="O661" s="32">
        <f t="shared" si="108"/>
        <v>0</v>
      </c>
      <c r="AG661" t="s">
        <v>376</v>
      </c>
      <c r="AH661" t="s">
        <v>583</v>
      </c>
      <c r="AI661">
        <v>5</v>
      </c>
      <c r="AJ661">
        <v>8</v>
      </c>
      <c r="AK661">
        <v>13</v>
      </c>
      <c r="AL661">
        <v>4</v>
      </c>
      <c r="AM661">
        <v>1520</v>
      </c>
      <c r="AN661">
        <v>1700</v>
      </c>
      <c r="AO661">
        <v>1467</v>
      </c>
      <c r="AQ661" s="27">
        <f t="shared" si="113"/>
        <v>3148.2000000000003</v>
      </c>
    </row>
    <row r="662" spans="1:43" ht="12.75">
      <c r="A662" s="1" t="s">
        <v>568</v>
      </c>
      <c r="B662" s="7" t="s">
        <v>2037</v>
      </c>
      <c r="C662" t="s">
        <v>413</v>
      </c>
      <c r="D662" s="19">
        <v>6</v>
      </c>
      <c r="E662" s="7" t="s">
        <v>839</v>
      </c>
      <c r="F662" s="19"/>
      <c r="G662" s="4">
        <f>IF(F662&gt;0,F662,IF(PrefetchDBSummary!$C$10="B",AJ662,8))</f>
        <v>8</v>
      </c>
      <c r="H662" s="4">
        <f>PrefetchDBSummary!C$27</f>
        <v>0</v>
      </c>
      <c r="I662" s="4">
        <f>PrefetchDBSummary!D$27</f>
        <v>0</v>
      </c>
      <c r="J662" s="5">
        <f t="shared" si="109"/>
        <v>0</v>
      </c>
      <c r="K662" s="4">
        <f t="shared" si="110"/>
        <v>0</v>
      </c>
      <c r="L662" s="4">
        <f t="shared" si="111"/>
        <v>0</v>
      </c>
      <c r="M662" s="5">
        <f t="shared" si="112"/>
        <v>0</v>
      </c>
      <c r="N662" s="17">
        <f t="shared" si="107"/>
        <v>0</v>
      </c>
      <c r="O662" s="32">
        <f t="shared" si="108"/>
        <v>0</v>
      </c>
      <c r="AG662" t="s">
        <v>414</v>
      </c>
      <c r="AH662" t="s">
        <v>583</v>
      </c>
      <c r="AI662">
        <v>8</v>
      </c>
      <c r="AJ662">
        <v>8</v>
      </c>
      <c r="AK662">
        <v>9</v>
      </c>
      <c r="AL662">
        <v>4</v>
      </c>
      <c r="AM662">
        <v>695</v>
      </c>
      <c r="AN662">
        <v>899</v>
      </c>
      <c r="AO662">
        <v>606</v>
      </c>
      <c r="AQ662" s="27">
        <f t="shared" si="113"/>
        <v>2547.3999999999996</v>
      </c>
    </row>
    <row r="663" spans="1:43" ht="12.75">
      <c r="A663" s="1" t="s">
        <v>568</v>
      </c>
      <c r="B663" s="7" t="s">
        <v>2037</v>
      </c>
      <c r="C663" t="s">
        <v>1374</v>
      </c>
      <c r="D663" s="19">
        <f>D665*2</f>
        <v>200</v>
      </c>
      <c r="E663" s="7" t="s">
        <v>1283</v>
      </c>
      <c r="F663" s="19"/>
      <c r="G663" s="4">
        <f>IF(F663&gt;0,F663,IF(PrefetchDBSummary!$C$10="B",AJ663,8))</f>
        <v>8</v>
      </c>
      <c r="H663" s="4">
        <f>PrefetchDBSummary!C$27</f>
        <v>0</v>
      </c>
      <c r="I663" s="4">
        <f>PrefetchDBSummary!D$27</f>
        <v>0</v>
      </c>
      <c r="J663" s="5">
        <f t="shared" si="109"/>
        <v>0</v>
      </c>
      <c r="K663" s="4">
        <f t="shared" si="110"/>
        <v>0</v>
      </c>
      <c r="L663" s="4">
        <f t="shared" si="111"/>
        <v>0</v>
      </c>
      <c r="M663" s="5">
        <f t="shared" si="112"/>
        <v>0</v>
      </c>
      <c r="N663" s="17">
        <f t="shared" si="107"/>
        <v>0</v>
      </c>
      <c r="O663" s="32">
        <f t="shared" si="108"/>
        <v>0</v>
      </c>
      <c r="AG663" t="s">
        <v>1380</v>
      </c>
      <c r="AH663" t="s">
        <v>583</v>
      </c>
      <c r="AI663">
        <v>1</v>
      </c>
      <c r="AJ663">
        <v>8</v>
      </c>
      <c r="AK663">
        <v>7</v>
      </c>
      <c r="AL663">
        <v>3</v>
      </c>
      <c r="AM663">
        <v>613</v>
      </c>
      <c r="AN663">
        <v>766</v>
      </c>
      <c r="AO663">
        <v>542</v>
      </c>
      <c r="AQ663" s="27">
        <f t="shared" si="113"/>
        <v>62543</v>
      </c>
    </row>
    <row r="664" spans="1:43" ht="12.75">
      <c r="A664" s="1" t="s">
        <v>568</v>
      </c>
      <c r="B664" s="7" t="s">
        <v>2037</v>
      </c>
      <c r="C664" t="s">
        <v>1375</v>
      </c>
      <c r="D664" s="19">
        <f>D665*2</f>
        <v>200</v>
      </c>
      <c r="E664" s="7" t="s">
        <v>1282</v>
      </c>
      <c r="F664" s="19"/>
      <c r="G664" s="4">
        <f>IF(F664&gt;0,F664,IF(PrefetchDBSummary!$C$10="B",AJ664,8))</f>
        <v>8</v>
      </c>
      <c r="H664" s="4">
        <f>PrefetchDBSummary!C$27</f>
        <v>0</v>
      </c>
      <c r="I664" s="4">
        <f>PrefetchDBSummary!D$27</f>
        <v>0</v>
      </c>
      <c r="J664" s="5">
        <f t="shared" si="109"/>
        <v>0</v>
      </c>
      <c r="K664" s="4">
        <f t="shared" si="110"/>
        <v>0</v>
      </c>
      <c r="L664" s="4">
        <f t="shared" si="111"/>
        <v>0</v>
      </c>
      <c r="M664" s="5">
        <f t="shared" si="112"/>
        <v>0</v>
      </c>
      <c r="N664" s="17">
        <f t="shared" si="107"/>
        <v>0</v>
      </c>
      <c r="O664" s="32">
        <f t="shared" si="108"/>
        <v>0</v>
      </c>
      <c r="AG664" t="s">
        <v>1381</v>
      </c>
      <c r="AH664" t="s">
        <v>583</v>
      </c>
      <c r="AI664">
        <v>1</v>
      </c>
      <c r="AJ664">
        <v>5</v>
      </c>
      <c r="AK664">
        <v>6</v>
      </c>
      <c r="AL664">
        <v>2</v>
      </c>
      <c r="AM664">
        <v>596</v>
      </c>
      <c r="AN664">
        <v>698</v>
      </c>
      <c r="AO664">
        <v>542</v>
      </c>
      <c r="AQ664" s="27">
        <f t="shared" si="113"/>
        <v>59124</v>
      </c>
    </row>
    <row r="665" spans="1:43" ht="12.75">
      <c r="A665" s="1" t="s">
        <v>568</v>
      </c>
      <c r="B665" s="7" t="s">
        <v>2037</v>
      </c>
      <c r="C665" t="s">
        <v>415</v>
      </c>
      <c r="D665" s="4">
        <f>PrefetchDBSummary!$E$27</f>
        <v>100</v>
      </c>
      <c r="E665" s="7" t="s">
        <v>840</v>
      </c>
      <c r="F665" s="19"/>
      <c r="G665" s="4">
        <f>IF(F665&gt;0,F665,IF(PrefetchDBSummary!$C$10="B",AJ665,8))</f>
        <v>8</v>
      </c>
      <c r="H665" s="4">
        <f>PrefetchDBSummary!C$27</f>
        <v>0</v>
      </c>
      <c r="I665" s="4">
        <f>PrefetchDBSummary!D$27</f>
        <v>0</v>
      </c>
      <c r="J665" s="5">
        <f t="shared" si="109"/>
        <v>0</v>
      </c>
      <c r="K665" s="4">
        <f t="shared" si="110"/>
        <v>0</v>
      </c>
      <c r="L665" s="4">
        <f t="shared" si="111"/>
        <v>0</v>
      </c>
      <c r="M665" s="5">
        <f t="shared" si="112"/>
        <v>0</v>
      </c>
      <c r="N665" s="17">
        <f t="shared" si="107"/>
        <v>0</v>
      </c>
      <c r="O665" s="32">
        <f t="shared" si="108"/>
        <v>0</v>
      </c>
      <c r="AG665" t="s">
        <v>416</v>
      </c>
      <c r="AH665" t="s">
        <v>583</v>
      </c>
      <c r="AI665">
        <v>8</v>
      </c>
      <c r="AJ665">
        <v>8</v>
      </c>
      <c r="AK665">
        <v>14</v>
      </c>
      <c r="AL665">
        <v>6</v>
      </c>
      <c r="AM665">
        <v>1142</v>
      </c>
      <c r="AN665">
        <v>1440</v>
      </c>
      <c r="AO665">
        <v>1024</v>
      </c>
      <c r="AQ665" s="27">
        <f t="shared" si="113"/>
        <v>55576</v>
      </c>
    </row>
    <row r="666" spans="1:43" ht="12.75">
      <c r="A666" s="7" t="s">
        <v>970</v>
      </c>
      <c r="B666" s="7" t="s">
        <v>1038</v>
      </c>
      <c r="C666" t="s">
        <v>971</v>
      </c>
      <c r="D666" s="57">
        <v>1</v>
      </c>
      <c r="E666" s="7" t="s">
        <v>710</v>
      </c>
      <c r="F666" s="19"/>
      <c r="G666" s="4">
        <f>IF(F666&gt;0,F666,IF(PrefetchDBSummary!$C$10="B",AJ666,8))</f>
        <v>8</v>
      </c>
      <c r="H666" s="4">
        <f>PrefetchDBSummary!C$15</f>
        <v>0</v>
      </c>
      <c r="I666" s="4">
        <f>PrefetchDBSummary!D$15</f>
        <v>0</v>
      </c>
      <c r="J666" s="5">
        <f t="shared" si="109"/>
        <v>0</v>
      </c>
      <c r="K666" s="4">
        <f t="shared" si="110"/>
        <v>0</v>
      </c>
      <c r="L666" s="4">
        <f t="shared" si="111"/>
        <v>0</v>
      </c>
      <c r="M666" s="5">
        <f t="shared" si="112"/>
        <v>0</v>
      </c>
      <c r="N666" s="17">
        <f t="shared" si="107"/>
        <v>0</v>
      </c>
      <c r="O666" s="32">
        <f t="shared" si="108"/>
        <v>0</v>
      </c>
      <c r="AG666" t="s">
        <v>1003</v>
      </c>
      <c r="AH666" t="s">
        <v>583</v>
      </c>
      <c r="AI666">
        <v>5</v>
      </c>
      <c r="AJ666">
        <v>8</v>
      </c>
      <c r="AK666">
        <v>18</v>
      </c>
      <c r="AL666">
        <v>7</v>
      </c>
      <c r="AM666">
        <v>994</v>
      </c>
      <c r="AN666">
        <v>1267</v>
      </c>
      <c r="AO666">
        <v>932</v>
      </c>
      <c r="AQ666" s="27">
        <f t="shared" si="113"/>
        <v>1049.8</v>
      </c>
    </row>
    <row r="667" spans="1:43" ht="12.75">
      <c r="A667" s="7" t="s">
        <v>970</v>
      </c>
      <c r="B667" s="7" t="s">
        <v>1038</v>
      </c>
      <c r="C667" t="s">
        <v>972</v>
      </c>
      <c r="D667" s="82">
        <v>2</v>
      </c>
      <c r="E667" s="7" t="s">
        <v>1942</v>
      </c>
      <c r="F667" s="19"/>
      <c r="G667" s="4">
        <f>IF(F667&gt;0,F667,IF(PrefetchDBSummary!$C$10="B",AJ667,8))</f>
        <v>8</v>
      </c>
      <c r="H667" s="4">
        <f>PrefetchDBSummary!C$15</f>
        <v>0</v>
      </c>
      <c r="I667" s="4">
        <f>PrefetchDBSummary!D$15</f>
        <v>0</v>
      </c>
      <c r="J667" s="5">
        <f t="shared" si="109"/>
        <v>0</v>
      </c>
      <c r="K667" s="4">
        <f t="shared" si="110"/>
        <v>0</v>
      </c>
      <c r="L667" s="4">
        <f t="shared" si="111"/>
        <v>0</v>
      </c>
      <c r="M667" s="5">
        <f t="shared" si="112"/>
        <v>0</v>
      </c>
      <c r="N667" s="17">
        <f t="shared" si="107"/>
        <v>0</v>
      </c>
      <c r="O667" s="32">
        <f t="shared" si="108"/>
        <v>0</v>
      </c>
      <c r="AG667" t="s">
        <v>1004</v>
      </c>
      <c r="AH667" t="s">
        <v>583</v>
      </c>
      <c r="AI667">
        <v>5</v>
      </c>
      <c r="AJ667">
        <v>8</v>
      </c>
      <c r="AK667">
        <v>12</v>
      </c>
      <c r="AL667">
        <v>1</v>
      </c>
      <c r="AM667">
        <v>1048</v>
      </c>
      <c r="AN667">
        <v>1087</v>
      </c>
      <c r="AO667">
        <v>1032</v>
      </c>
      <c r="AQ667" s="27">
        <f t="shared" si="113"/>
        <v>1381.6</v>
      </c>
    </row>
    <row r="668" spans="1:43" ht="12.75">
      <c r="A668" s="7" t="s">
        <v>970</v>
      </c>
      <c r="B668" s="7" t="s">
        <v>1038</v>
      </c>
      <c r="C668" t="s">
        <v>973</v>
      </c>
      <c r="D668" s="57">
        <v>1.002931323283082</v>
      </c>
      <c r="E668" s="7" t="s">
        <v>710</v>
      </c>
      <c r="F668" s="19"/>
      <c r="G668" s="4">
        <f>IF(F668&gt;0,F668,IF(PrefetchDBSummary!$C$10="B",AJ668,8))</f>
        <v>8</v>
      </c>
      <c r="H668" s="4">
        <f>PrefetchDBSummary!C$15</f>
        <v>0</v>
      </c>
      <c r="I668" s="4">
        <f>PrefetchDBSummary!D$15</f>
        <v>0</v>
      </c>
      <c r="J668" s="5">
        <f t="shared" si="109"/>
        <v>0</v>
      </c>
      <c r="K668" s="4">
        <f t="shared" si="110"/>
        <v>0</v>
      </c>
      <c r="L668" s="4">
        <f t="shared" si="111"/>
        <v>0</v>
      </c>
      <c r="M668" s="5">
        <f t="shared" si="112"/>
        <v>0</v>
      </c>
      <c r="N668" s="17">
        <f t="shared" si="107"/>
        <v>0</v>
      </c>
      <c r="O668" s="32">
        <f t="shared" si="108"/>
        <v>0</v>
      </c>
      <c r="AG668" t="s">
        <v>1005</v>
      </c>
      <c r="AH668" t="s">
        <v>583</v>
      </c>
      <c r="AI668">
        <v>5</v>
      </c>
      <c r="AJ668">
        <v>8</v>
      </c>
      <c r="AK668">
        <v>6</v>
      </c>
      <c r="AL668">
        <v>3</v>
      </c>
      <c r="AM668">
        <v>202</v>
      </c>
      <c r="AN668">
        <v>355</v>
      </c>
      <c r="AO668">
        <v>132</v>
      </c>
      <c r="AQ668" s="27">
        <f t="shared" si="113"/>
        <v>510.2273869346734</v>
      </c>
    </row>
    <row r="669" spans="1:43" ht="12.75">
      <c r="A669" s="7" t="s">
        <v>970</v>
      </c>
      <c r="B669" s="7" t="s">
        <v>1038</v>
      </c>
      <c r="C669" t="s">
        <v>974</v>
      </c>
      <c r="D669" s="57">
        <v>15</v>
      </c>
      <c r="E669" s="7" t="s">
        <v>1941</v>
      </c>
      <c r="F669" s="19"/>
      <c r="G669" s="4">
        <f>IF(F669&gt;0,F669,IF(PrefetchDBSummary!$C$10="B",AJ669,8))</f>
        <v>8</v>
      </c>
      <c r="H669" s="4">
        <f>PrefetchDBSummary!C$15</f>
        <v>0</v>
      </c>
      <c r="I669" s="4">
        <f>PrefetchDBSummary!D$15</f>
        <v>0</v>
      </c>
      <c r="J669" s="5">
        <f t="shared" si="109"/>
        <v>0</v>
      </c>
      <c r="K669" s="4">
        <f t="shared" si="110"/>
        <v>0</v>
      </c>
      <c r="L669" s="4">
        <f t="shared" si="111"/>
        <v>0</v>
      </c>
      <c r="M669" s="5">
        <f t="shared" si="112"/>
        <v>0</v>
      </c>
      <c r="N669" s="17">
        <f t="shared" si="107"/>
        <v>0</v>
      </c>
      <c r="O669" s="32">
        <f t="shared" si="108"/>
        <v>0</v>
      </c>
      <c r="AG669" t="s">
        <v>1006</v>
      </c>
      <c r="AH669" t="s">
        <v>583</v>
      </c>
      <c r="AI669">
        <v>5</v>
      </c>
      <c r="AJ669">
        <v>32</v>
      </c>
      <c r="AK669">
        <v>9</v>
      </c>
      <c r="AL669">
        <v>0</v>
      </c>
      <c r="AM669">
        <v>841</v>
      </c>
      <c r="AN669">
        <v>841</v>
      </c>
      <c r="AO669">
        <v>832</v>
      </c>
      <c r="AQ669" s="27">
        <f t="shared" si="113"/>
        <v>5893</v>
      </c>
    </row>
    <row r="670" spans="1:43" ht="12.75">
      <c r="A670" s="7" t="s">
        <v>970</v>
      </c>
      <c r="B670" s="7" t="s">
        <v>1038</v>
      </c>
      <c r="C670" t="s">
        <v>975</v>
      </c>
      <c r="D670" s="82">
        <v>0.9581239530988275</v>
      </c>
      <c r="E670" s="7" t="s">
        <v>710</v>
      </c>
      <c r="F670" s="19"/>
      <c r="G670" s="4">
        <f>IF(F670&gt;0,F670,IF(PrefetchDBSummary!$C$10="B",AJ670,8))</f>
        <v>8</v>
      </c>
      <c r="H670" s="4">
        <f>PrefetchDBSummary!C$15</f>
        <v>0</v>
      </c>
      <c r="I670" s="4">
        <f>PrefetchDBSummary!D$15</f>
        <v>0</v>
      </c>
      <c r="J670" s="5">
        <f t="shared" si="109"/>
        <v>0</v>
      </c>
      <c r="K670" s="4">
        <f t="shared" si="110"/>
        <v>0</v>
      </c>
      <c r="L670" s="4">
        <f t="shared" si="111"/>
        <v>0</v>
      </c>
      <c r="M670" s="5">
        <f t="shared" si="112"/>
        <v>0</v>
      </c>
      <c r="N670" s="17">
        <f t="shared" si="107"/>
        <v>0</v>
      </c>
      <c r="O670" s="32">
        <f t="shared" si="108"/>
        <v>0</v>
      </c>
      <c r="AG670" t="s">
        <v>1007</v>
      </c>
      <c r="AH670" t="s">
        <v>583</v>
      </c>
      <c r="AI670">
        <v>5</v>
      </c>
      <c r="AJ670">
        <v>8</v>
      </c>
      <c r="AK670">
        <v>9</v>
      </c>
      <c r="AL670">
        <v>5</v>
      </c>
      <c r="AM670">
        <v>337</v>
      </c>
      <c r="AN670">
        <v>592</v>
      </c>
      <c r="AO670">
        <v>232</v>
      </c>
      <c r="AQ670" s="27">
        <f t="shared" si="113"/>
        <v>632.5537688442212</v>
      </c>
    </row>
    <row r="671" spans="1:43" ht="12.75">
      <c r="A671" s="7" t="s">
        <v>970</v>
      </c>
      <c r="B671" s="7" t="s">
        <v>1038</v>
      </c>
      <c r="C671" t="s">
        <v>976</v>
      </c>
      <c r="D671" s="57">
        <v>1</v>
      </c>
      <c r="E671" s="7" t="s">
        <v>710</v>
      </c>
      <c r="F671" s="19"/>
      <c r="G671" s="4">
        <f>IF(F671&gt;0,F671,IF(PrefetchDBSummary!$C$10="B",AJ671,8))</f>
        <v>8</v>
      </c>
      <c r="H671" s="4">
        <f>PrefetchDBSummary!C$15</f>
        <v>0</v>
      </c>
      <c r="I671" s="4">
        <f>PrefetchDBSummary!D$15</f>
        <v>0</v>
      </c>
      <c r="J671" s="5">
        <f t="shared" si="109"/>
        <v>0</v>
      </c>
      <c r="K671" s="4">
        <f t="shared" si="110"/>
        <v>0</v>
      </c>
      <c r="L671" s="4">
        <f t="shared" si="111"/>
        <v>0</v>
      </c>
      <c r="M671" s="5">
        <f t="shared" si="112"/>
        <v>0</v>
      </c>
      <c r="N671" s="17">
        <f t="shared" si="107"/>
        <v>0</v>
      </c>
      <c r="O671" s="32">
        <f t="shared" si="108"/>
        <v>0</v>
      </c>
      <c r="AG671" t="s">
        <v>1008</v>
      </c>
      <c r="AH671" t="s">
        <v>583</v>
      </c>
      <c r="AI671">
        <v>5</v>
      </c>
      <c r="AJ671">
        <v>8</v>
      </c>
      <c r="AK671">
        <v>15</v>
      </c>
      <c r="AL671">
        <v>3</v>
      </c>
      <c r="AM671">
        <v>1159</v>
      </c>
      <c r="AN671">
        <v>1276</v>
      </c>
      <c r="AO671">
        <v>1132</v>
      </c>
      <c r="AQ671" s="27">
        <f t="shared" si="113"/>
        <v>1037.8</v>
      </c>
    </row>
    <row r="672" spans="1:43" ht="12.75">
      <c r="A672" s="7" t="s">
        <v>970</v>
      </c>
      <c r="B672" s="7" t="s">
        <v>1038</v>
      </c>
      <c r="C672" t="s">
        <v>977</v>
      </c>
      <c r="D672" s="57">
        <v>1</v>
      </c>
      <c r="E672" s="7" t="s">
        <v>710</v>
      </c>
      <c r="F672" s="19"/>
      <c r="G672" s="4">
        <f>IF(F672&gt;0,F672,IF(PrefetchDBSummary!$C$10="B",AJ672,8))</f>
        <v>8</v>
      </c>
      <c r="H672" s="4">
        <f>PrefetchDBSummary!C$15</f>
        <v>0</v>
      </c>
      <c r="I672" s="4">
        <f>PrefetchDBSummary!D$15</f>
        <v>0</v>
      </c>
      <c r="J672" s="5">
        <f t="shared" si="109"/>
        <v>0</v>
      </c>
      <c r="K672" s="4">
        <f t="shared" si="110"/>
        <v>0</v>
      </c>
      <c r="L672" s="4">
        <f t="shared" si="111"/>
        <v>0</v>
      </c>
      <c r="M672" s="5">
        <f t="shared" si="112"/>
        <v>0</v>
      </c>
      <c r="N672" s="17">
        <f t="shared" si="107"/>
        <v>0</v>
      </c>
      <c r="O672" s="32">
        <f t="shared" si="108"/>
        <v>0</v>
      </c>
      <c r="AG672" t="s">
        <v>1009</v>
      </c>
      <c r="AH672" t="s">
        <v>583</v>
      </c>
      <c r="AI672">
        <v>5</v>
      </c>
      <c r="AJ672">
        <v>8</v>
      </c>
      <c r="AK672">
        <v>12</v>
      </c>
      <c r="AL672">
        <v>1</v>
      </c>
      <c r="AM672">
        <v>1048</v>
      </c>
      <c r="AN672">
        <v>1087</v>
      </c>
      <c r="AO672">
        <v>1032</v>
      </c>
      <c r="AQ672" s="27">
        <f t="shared" si="113"/>
        <v>929.8</v>
      </c>
    </row>
    <row r="673" spans="1:43" ht="12.75">
      <c r="A673" s="7" t="s">
        <v>970</v>
      </c>
      <c r="B673" s="7" t="s">
        <v>1038</v>
      </c>
      <c r="C673" t="s">
        <v>978</v>
      </c>
      <c r="D673" s="82">
        <v>1</v>
      </c>
      <c r="E673" s="7" t="s">
        <v>710</v>
      </c>
      <c r="F673" s="19"/>
      <c r="G673" s="4">
        <f>IF(F673&gt;0,F673,IF(PrefetchDBSummary!$C$10="B",AJ673,8))</f>
        <v>8</v>
      </c>
      <c r="H673" s="4">
        <f>PrefetchDBSummary!C$15</f>
        <v>0</v>
      </c>
      <c r="I673" s="4">
        <f>PrefetchDBSummary!D$15</f>
        <v>0</v>
      </c>
      <c r="J673" s="5">
        <f t="shared" si="109"/>
        <v>0</v>
      </c>
      <c r="K673" s="4">
        <f t="shared" si="110"/>
        <v>0</v>
      </c>
      <c r="L673" s="4">
        <f t="shared" si="111"/>
        <v>0</v>
      </c>
      <c r="M673" s="5">
        <f t="shared" si="112"/>
        <v>0</v>
      </c>
      <c r="N673" s="17">
        <f t="shared" si="107"/>
        <v>0</v>
      </c>
      <c r="O673" s="32">
        <f t="shared" si="108"/>
        <v>0</v>
      </c>
      <c r="AG673" t="s">
        <v>1010</v>
      </c>
      <c r="AH673" t="s">
        <v>583</v>
      </c>
      <c r="AI673">
        <v>5</v>
      </c>
      <c r="AJ673">
        <v>8</v>
      </c>
      <c r="AK673">
        <v>6</v>
      </c>
      <c r="AL673">
        <v>1</v>
      </c>
      <c r="AM673">
        <v>370</v>
      </c>
      <c r="AN673">
        <v>421</v>
      </c>
      <c r="AO673">
        <v>332</v>
      </c>
      <c r="AQ673" s="27">
        <f t="shared" si="113"/>
        <v>557.8</v>
      </c>
    </row>
    <row r="674" spans="1:43" ht="12.75">
      <c r="A674" s="7" t="s">
        <v>970</v>
      </c>
      <c r="B674" s="7" t="s">
        <v>1038</v>
      </c>
      <c r="C674" t="s">
        <v>979</v>
      </c>
      <c r="D674" s="57">
        <v>45</v>
      </c>
      <c r="E674" s="7" t="s">
        <v>1943</v>
      </c>
      <c r="F674" s="19"/>
      <c r="G674" s="4">
        <f>IF(F674&gt;0,F674,IF(PrefetchDBSummary!$C$10="B",AJ674,8))</f>
        <v>8</v>
      </c>
      <c r="H674" s="4">
        <f>PrefetchDBSummary!C$15</f>
        <v>0</v>
      </c>
      <c r="I674" s="4">
        <f>PrefetchDBSummary!D$15</f>
        <v>0</v>
      </c>
      <c r="J674" s="5">
        <f t="shared" si="109"/>
        <v>0</v>
      </c>
      <c r="K674" s="4">
        <f t="shared" si="110"/>
        <v>0</v>
      </c>
      <c r="L674" s="4">
        <f t="shared" si="111"/>
        <v>0</v>
      </c>
      <c r="M674" s="5">
        <f t="shared" si="112"/>
        <v>0</v>
      </c>
      <c r="N674" s="17">
        <f t="shared" si="107"/>
        <v>0</v>
      </c>
      <c r="O674" s="32">
        <f t="shared" si="108"/>
        <v>0</v>
      </c>
      <c r="AG674" t="s">
        <v>1011</v>
      </c>
      <c r="AH674" t="s">
        <v>583</v>
      </c>
      <c r="AI674">
        <v>5</v>
      </c>
      <c r="AJ674">
        <v>8</v>
      </c>
      <c r="AK674">
        <v>13</v>
      </c>
      <c r="AL674">
        <v>1</v>
      </c>
      <c r="AM674">
        <v>1149</v>
      </c>
      <c r="AN674">
        <v>1188</v>
      </c>
      <c r="AO674">
        <v>1132</v>
      </c>
      <c r="AQ674" s="27">
        <f t="shared" si="113"/>
        <v>22673</v>
      </c>
    </row>
    <row r="675" spans="1:43" ht="12.75">
      <c r="A675" s="7" t="s">
        <v>970</v>
      </c>
      <c r="B675" s="7" t="s">
        <v>1038</v>
      </c>
      <c r="C675" t="s">
        <v>980</v>
      </c>
      <c r="D675" s="57">
        <v>1</v>
      </c>
      <c r="E675" s="7" t="s">
        <v>710</v>
      </c>
      <c r="F675" s="19"/>
      <c r="G675" s="4">
        <f>IF(F675&gt;0,F675,IF(PrefetchDBSummary!$C$10="B",AJ675,8))</f>
        <v>8</v>
      </c>
      <c r="H675" s="4">
        <f>PrefetchDBSummary!C$15</f>
        <v>0</v>
      </c>
      <c r="I675" s="4">
        <f>PrefetchDBSummary!D$15</f>
        <v>0</v>
      </c>
      <c r="J675" s="5">
        <f t="shared" si="109"/>
        <v>0</v>
      </c>
      <c r="K675" s="4">
        <f t="shared" si="110"/>
        <v>0</v>
      </c>
      <c r="L675" s="4">
        <f t="shared" si="111"/>
        <v>0</v>
      </c>
      <c r="M675" s="5">
        <f t="shared" si="112"/>
        <v>0</v>
      </c>
      <c r="N675" s="17">
        <f t="shared" si="107"/>
        <v>0</v>
      </c>
      <c r="O675" s="32">
        <f t="shared" si="108"/>
        <v>0</v>
      </c>
      <c r="AG675" t="s">
        <v>1012</v>
      </c>
      <c r="AH675" t="s">
        <v>583</v>
      </c>
      <c r="AI675">
        <v>5</v>
      </c>
      <c r="AJ675">
        <v>8</v>
      </c>
      <c r="AK675">
        <v>8</v>
      </c>
      <c r="AL675">
        <v>2</v>
      </c>
      <c r="AM675">
        <v>548</v>
      </c>
      <c r="AN675">
        <v>626</v>
      </c>
      <c r="AO675">
        <v>532</v>
      </c>
      <c r="AQ675" s="27">
        <f t="shared" si="113"/>
        <v>653.8</v>
      </c>
    </row>
    <row r="676" spans="1:43" ht="12.75">
      <c r="A676" s="7" t="s">
        <v>970</v>
      </c>
      <c r="B676" s="7" t="s">
        <v>1038</v>
      </c>
      <c r="C676" t="s">
        <v>981</v>
      </c>
      <c r="D676" s="57">
        <v>0</v>
      </c>
      <c r="E676" s="7"/>
      <c r="F676" s="19"/>
      <c r="G676" s="4">
        <f>IF(F676&gt;0,F676,IF(PrefetchDBSummary!$C$10="B",AJ676,8))</f>
        <v>8</v>
      </c>
      <c r="H676" s="4">
        <f>PrefetchDBSummary!C$15</f>
        <v>0</v>
      </c>
      <c r="I676" s="4">
        <f>PrefetchDBSummary!D$15</f>
        <v>0</v>
      </c>
      <c r="J676" s="5">
        <f t="shared" si="109"/>
        <v>0</v>
      </c>
      <c r="K676" s="4">
        <f t="shared" si="110"/>
        <v>0</v>
      </c>
      <c r="L676" s="4">
        <f t="shared" si="111"/>
        <v>0</v>
      </c>
      <c r="M676" s="5">
        <f t="shared" si="112"/>
        <v>0</v>
      </c>
      <c r="N676" s="17">
        <f t="shared" si="107"/>
        <v>0</v>
      </c>
      <c r="O676" s="32">
        <f t="shared" si="108"/>
        <v>0</v>
      </c>
      <c r="AG676" t="s">
        <v>1013</v>
      </c>
      <c r="AH676" t="s">
        <v>583</v>
      </c>
      <c r="AI676">
        <v>1</v>
      </c>
      <c r="AJ676">
        <v>32</v>
      </c>
      <c r="AK676">
        <v>11</v>
      </c>
      <c r="AL676">
        <v>8</v>
      </c>
      <c r="AM676">
        <v>307</v>
      </c>
      <c r="AN676">
        <v>651</v>
      </c>
      <c r="AO676">
        <v>232</v>
      </c>
      <c r="AQ676" s="27">
        <f t="shared" si="113"/>
        <v>459</v>
      </c>
    </row>
    <row r="677" spans="1:43" ht="12.75">
      <c r="A677" s="7" t="s">
        <v>970</v>
      </c>
      <c r="B677" s="7" t="s">
        <v>1038</v>
      </c>
      <c r="C677" t="s">
        <v>982</v>
      </c>
      <c r="D677" s="57">
        <v>45</v>
      </c>
      <c r="E677" s="7" t="s">
        <v>1944</v>
      </c>
      <c r="F677" s="19"/>
      <c r="G677" s="4">
        <f>IF(F677&gt;0,F677,IF(PrefetchDBSummary!$C$10="B",AJ677,8))</f>
        <v>8</v>
      </c>
      <c r="H677" s="4">
        <f>PrefetchDBSummary!C$15</f>
        <v>0</v>
      </c>
      <c r="I677" s="4">
        <f>PrefetchDBSummary!D$15</f>
        <v>0</v>
      </c>
      <c r="J677" s="5">
        <f t="shared" si="109"/>
        <v>0</v>
      </c>
      <c r="K677" s="4">
        <f t="shared" si="110"/>
        <v>0</v>
      </c>
      <c r="L677" s="4">
        <f t="shared" si="111"/>
        <v>0</v>
      </c>
      <c r="M677" s="5">
        <f t="shared" si="112"/>
        <v>0</v>
      </c>
      <c r="N677" s="17">
        <f t="shared" si="107"/>
        <v>0</v>
      </c>
      <c r="O677" s="32">
        <f t="shared" si="108"/>
        <v>0</v>
      </c>
      <c r="AG677" t="s">
        <v>1014</v>
      </c>
      <c r="AH677" t="s">
        <v>583</v>
      </c>
      <c r="AI677">
        <v>1</v>
      </c>
      <c r="AJ677">
        <v>32</v>
      </c>
      <c r="AK677">
        <v>8</v>
      </c>
      <c r="AL677">
        <v>4</v>
      </c>
      <c r="AM677">
        <v>272</v>
      </c>
      <c r="AN677">
        <v>428</v>
      </c>
      <c r="AO677">
        <v>232</v>
      </c>
      <c r="AQ677" s="27">
        <f t="shared" si="113"/>
        <v>7413.000000000001</v>
      </c>
    </row>
    <row r="678" spans="1:43" ht="12.75">
      <c r="A678" s="7" t="s">
        <v>970</v>
      </c>
      <c r="B678" s="7" t="s">
        <v>1038</v>
      </c>
      <c r="C678" t="s">
        <v>983</v>
      </c>
      <c r="D678" s="57">
        <v>0</v>
      </c>
      <c r="E678" s="7"/>
      <c r="F678" s="19"/>
      <c r="G678" s="4">
        <f>IF(F678&gt;0,F678,IF(PrefetchDBSummary!$C$10="B",AJ678,8))</f>
        <v>8</v>
      </c>
      <c r="H678" s="4">
        <f>PrefetchDBSummary!C$15</f>
        <v>0</v>
      </c>
      <c r="I678" s="4">
        <f>PrefetchDBSummary!D$15</f>
        <v>0</v>
      </c>
      <c r="J678" s="5">
        <f t="shared" si="109"/>
        <v>0</v>
      </c>
      <c r="K678" s="4">
        <f t="shared" si="110"/>
        <v>0</v>
      </c>
      <c r="L678" s="4">
        <f t="shared" si="111"/>
        <v>0</v>
      </c>
      <c r="M678" s="5">
        <f t="shared" si="112"/>
        <v>0</v>
      </c>
      <c r="N678" s="17">
        <f t="shared" si="107"/>
        <v>0</v>
      </c>
      <c r="O678" s="32">
        <f t="shared" si="108"/>
        <v>0</v>
      </c>
      <c r="AG678" t="s">
        <v>1015</v>
      </c>
      <c r="AH678" t="s">
        <v>583</v>
      </c>
      <c r="AI678">
        <v>1</v>
      </c>
      <c r="AJ678">
        <v>32</v>
      </c>
      <c r="AK678">
        <v>11</v>
      </c>
      <c r="AL678">
        <v>8</v>
      </c>
      <c r="AM678">
        <v>307</v>
      </c>
      <c r="AN678">
        <v>651</v>
      </c>
      <c r="AO678">
        <v>232</v>
      </c>
      <c r="AQ678" s="27">
        <f t="shared" si="113"/>
        <v>459</v>
      </c>
    </row>
    <row r="679" spans="1:43" ht="12.75">
      <c r="A679" s="7" t="s">
        <v>970</v>
      </c>
      <c r="B679" s="7" t="s">
        <v>1038</v>
      </c>
      <c r="C679" t="s">
        <v>984</v>
      </c>
      <c r="D679" s="82">
        <v>0</v>
      </c>
      <c r="E679" s="7" t="s">
        <v>1945</v>
      </c>
      <c r="F679" s="19"/>
      <c r="G679" s="4">
        <f>IF(F679&gt;0,F679,IF(PrefetchDBSummary!$C$10="B",AJ679,8))</f>
        <v>8</v>
      </c>
      <c r="H679" s="4">
        <f>PrefetchDBSummary!C$15</f>
        <v>0</v>
      </c>
      <c r="I679" s="4">
        <f>PrefetchDBSummary!D$15</f>
        <v>0</v>
      </c>
      <c r="J679" s="5">
        <f t="shared" si="109"/>
        <v>0</v>
      </c>
      <c r="K679" s="4">
        <f t="shared" si="110"/>
        <v>0</v>
      </c>
      <c r="L679" s="4">
        <f t="shared" si="111"/>
        <v>0</v>
      </c>
      <c r="M679" s="5">
        <f t="shared" si="112"/>
        <v>0</v>
      </c>
      <c r="N679" s="17">
        <f t="shared" si="107"/>
        <v>0</v>
      </c>
      <c r="O679" s="32">
        <f t="shared" si="108"/>
        <v>0</v>
      </c>
      <c r="AG679" t="s">
        <v>1016</v>
      </c>
      <c r="AH679" t="s">
        <v>583</v>
      </c>
      <c r="AI679">
        <v>1</v>
      </c>
      <c r="AJ679">
        <v>32</v>
      </c>
      <c r="AK679">
        <v>8</v>
      </c>
      <c r="AL679">
        <v>4</v>
      </c>
      <c r="AM679">
        <v>272</v>
      </c>
      <c r="AN679">
        <v>428</v>
      </c>
      <c r="AO679">
        <v>232</v>
      </c>
      <c r="AQ679" s="27">
        <f t="shared" si="113"/>
        <v>402</v>
      </c>
    </row>
    <row r="680" spans="1:43" ht="12.75">
      <c r="A680" s="7" t="s">
        <v>970</v>
      </c>
      <c r="B680" s="7" t="s">
        <v>1038</v>
      </c>
      <c r="C680" t="s">
        <v>985</v>
      </c>
      <c r="D680" s="57">
        <v>1</v>
      </c>
      <c r="E680" s="7" t="s">
        <v>710</v>
      </c>
      <c r="F680" s="19"/>
      <c r="G680" s="4">
        <f>IF(F680&gt;0,F680,IF(PrefetchDBSummary!$C$10="B",AJ680,8))</f>
        <v>8</v>
      </c>
      <c r="H680" s="4">
        <f>PrefetchDBSummary!C$15</f>
        <v>0</v>
      </c>
      <c r="I680" s="4">
        <f>PrefetchDBSummary!D$15</f>
        <v>0</v>
      </c>
      <c r="J680" s="5">
        <f t="shared" si="109"/>
        <v>0</v>
      </c>
      <c r="K680" s="4">
        <f t="shared" si="110"/>
        <v>0</v>
      </c>
      <c r="L680" s="4">
        <f t="shared" si="111"/>
        <v>0</v>
      </c>
      <c r="M680" s="5">
        <f t="shared" si="112"/>
        <v>0</v>
      </c>
      <c r="N680" s="17">
        <f t="shared" si="107"/>
        <v>0</v>
      </c>
      <c r="O680" s="32">
        <f t="shared" si="108"/>
        <v>0</v>
      </c>
      <c r="AG680" t="s">
        <v>1017</v>
      </c>
      <c r="AH680" t="s">
        <v>583</v>
      </c>
      <c r="AI680">
        <v>5</v>
      </c>
      <c r="AJ680">
        <v>8</v>
      </c>
      <c r="AK680">
        <v>8</v>
      </c>
      <c r="AL680">
        <v>4</v>
      </c>
      <c r="AM680">
        <v>284</v>
      </c>
      <c r="AN680">
        <v>452</v>
      </c>
      <c r="AO680">
        <v>232</v>
      </c>
      <c r="AQ680" s="27">
        <f t="shared" si="113"/>
        <v>569.8</v>
      </c>
    </row>
    <row r="681" spans="1:43" ht="12.75">
      <c r="A681" s="7" t="s">
        <v>970</v>
      </c>
      <c r="B681" s="7" t="s">
        <v>1038</v>
      </c>
      <c r="C681" t="s">
        <v>986</v>
      </c>
      <c r="D681" s="57">
        <v>1</v>
      </c>
      <c r="E681" s="7" t="s">
        <v>710</v>
      </c>
      <c r="F681" s="19"/>
      <c r="G681" s="4">
        <f>IF(F681&gt;0,F681,IF(PrefetchDBSummary!$C$10="B",AJ681,8))</f>
        <v>8</v>
      </c>
      <c r="H681" s="4">
        <f>PrefetchDBSummary!C$15</f>
        <v>0</v>
      </c>
      <c r="I681" s="4">
        <f>PrefetchDBSummary!D$15</f>
        <v>0</v>
      </c>
      <c r="J681" s="5">
        <f t="shared" si="109"/>
        <v>0</v>
      </c>
      <c r="K681" s="4">
        <f t="shared" si="110"/>
        <v>0</v>
      </c>
      <c r="L681" s="4">
        <f t="shared" si="111"/>
        <v>0</v>
      </c>
      <c r="M681" s="5">
        <f t="shared" si="112"/>
        <v>0</v>
      </c>
      <c r="N681" s="17">
        <f t="shared" si="107"/>
        <v>0</v>
      </c>
      <c r="O681" s="32">
        <f t="shared" si="108"/>
        <v>0</v>
      </c>
      <c r="AG681" t="s">
        <v>1018</v>
      </c>
      <c r="AH681" t="s">
        <v>583</v>
      </c>
      <c r="AI681">
        <v>5</v>
      </c>
      <c r="AJ681">
        <v>8</v>
      </c>
      <c r="AK681">
        <v>11</v>
      </c>
      <c r="AL681">
        <v>8</v>
      </c>
      <c r="AM681">
        <v>371</v>
      </c>
      <c r="AN681">
        <v>779</v>
      </c>
      <c r="AO681">
        <v>232</v>
      </c>
      <c r="AQ681" s="27">
        <f t="shared" si="113"/>
        <v>713.8</v>
      </c>
    </row>
    <row r="682" spans="1:43" ht="12.75">
      <c r="A682" s="7" t="s">
        <v>970</v>
      </c>
      <c r="B682" s="7" t="s">
        <v>1038</v>
      </c>
      <c r="C682" t="s">
        <v>987</v>
      </c>
      <c r="D682" s="57">
        <v>2</v>
      </c>
      <c r="E682" s="7" t="s">
        <v>1946</v>
      </c>
      <c r="F682" s="19"/>
      <c r="G682" s="4">
        <f>IF(F682&gt;0,F682,IF(PrefetchDBSummary!$C$10="B",AJ682,8))</f>
        <v>8</v>
      </c>
      <c r="H682" s="4">
        <f>PrefetchDBSummary!C$15</f>
        <v>0</v>
      </c>
      <c r="I682" s="4">
        <f>PrefetchDBSummary!D$15</f>
        <v>0</v>
      </c>
      <c r="J682" s="5">
        <f t="shared" si="109"/>
        <v>0</v>
      </c>
      <c r="K682" s="4">
        <f t="shared" si="110"/>
        <v>0</v>
      </c>
      <c r="L682" s="4">
        <f t="shared" si="111"/>
        <v>0</v>
      </c>
      <c r="M682" s="5">
        <f t="shared" si="112"/>
        <v>0</v>
      </c>
      <c r="N682" s="17">
        <f t="shared" si="107"/>
        <v>0</v>
      </c>
      <c r="O682" s="32">
        <f t="shared" si="108"/>
        <v>0</v>
      </c>
      <c r="AG682" t="s">
        <v>1019</v>
      </c>
      <c r="AH682" t="s">
        <v>583</v>
      </c>
      <c r="AI682">
        <v>5</v>
      </c>
      <c r="AJ682">
        <v>8</v>
      </c>
      <c r="AK682">
        <v>8</v>
      </c>
      <c r="AL682">
        <v>1</v>
      </c>
      <c r="AM682">
        <v>644</v>
      </c>
      <c r="AN682">
        <v>683</v>
      </c>
      <c r="AO682">
        <v>632</v>
      </c>
      <c r="AQ682" s="27">
        <f t="shared" si="113"/>
        <v>977.6</v>
      </c>
    </row>
    <row r="683" spans="1:43" ht="12.75">
      <c r="A683" s="7" t="s">
        <v>970</v>
      </c>
      <c r="B683" s="7" t="s">
        <v>1038</v>
      </c>
      <c r="C683" t="s">
        <v>988</v>
      </c>
      <c r="D683" s="57">
        <v>7</v>
      </c>
      <c r="E683" s="7" t="s">
        <v>1948</v>
      </c>
      <c r="F683" s="19"/>
      <c r="G683" s="4">
        <f>IF(F683&gt;0,F683,IF(PrefetchDBSummary!$C$10="B",AJ683,8))</f>
        <v>8</v>
      </c>
      <c r="H683" s="4">
        <f>PrefetchDBSummary!C$15</f>
        <v>0</v>
      </c>
      <c r="I683" s="4">
        <f>PrefetchDBSummary!D$15</f>
        <v>0</v>
      </c>
      <c r="J683" s="5">
        <f t="shared" si="109"/>
        <v>0</v>
      </c>
      <c r="K683" s="4">
        <f t="shared" si="110"/>
        <v>0</v>
      </c>
      <c r="L683" s="4">
        <f t="shared" si="111"/>
        <v>0</v>
      </c>
      <c r="M683" s="5">
        <f t="shared" si="112"/>
        <v>0</v>
      </c>
      <c r="N683" s="17">
        <f t="shared" si="107"/>
        <v>0</v>
      </c>
      <c r="O683" s="32">
        <f t="shared" si="108"/>
        <v>0</v>
      </c>
      <c r="AG683" t="s">
        <v>1020</v>
      </c>
      <c r="AH683" t="s">
        <v>583</v>
      </c>
      <c r="AI683">
        <v>5</v>
      </c>
      <c r="AJ683">
        <v>8</v>
      </c>
      <c r="AK683">
        <v>9</v>
      </c>
      <c r="AL683">
        <v>1</v>
      </c>
      <c r="AM683">
        <v>745</v>
      </c>
      <c r="AN683">
        <v>784</v>
      </c>
      <c r="AO683">
        <v>732</v>
      </c>
      <c r="AQ683" s="27">
        <f t="shared" si="113"/>
        <v>2722.6</v>
      </c>
    </row>
    <row r="684" spans="1:43" ht="12.75">
      <c r="A684" s="7" t="s">
        <v>970</v>
      </c>
      <c r="B684" s="7" t="s">
        <v>1038</v>
      </c>
      <c r="C684" t="s">
        <v>989</v>
      </c>
      <c r="D684" s="82">
        <v>18</v>
      </c>
      <c r="E684" s="7" t="s">
        <v>1949</v>
      </c>
      <c r="F684" s="19"/>
      <c r="G684" s="4">
        <f>IF(F684&gt;0,F684,IF(PrefetchDBSummary!$C$10="B",AJ684,8))</f>
        <v>8</v>
      </c>
      <c r="H684" s="4">
        <f>PrefetchDBSummary!C$15</f>
        <v>0</v>
      </c>
      <c r="I684" s="4">
        <f>PrefetchDBSummary!D$15</f>
        <v>0</v>
      </c>
      <c r="J684" s="5">
        <f t="shared" si="109"/>
        <v>0</v>
      </c>
      <c r="K684" s="4">
        <f t="shared" si="110"/>
        <v>0</v>
      </c>
      <c r="L684" s="4">
        <f t="shared" si="111"/>
        <v>0</v>
      </c>
      <c r="M684" s="5">
        <f t="shared" si="112"/>
        <v>0</v>
      </c>
      <c r="N684" s="17">
        <f t="shared" si="107"/>
        <v>0</v>
      </c>
      <c r="O684" s="32">
        <f t="shared" si="108"/>
        <v>0</v>
      </c>
      <c r="AG684" t="s">
        <v>1021</v>
      </c>
      <c r="AH684" t="s">
        <v>583</v>
      </c>
      <c r="AI684">
        <v>5</v>
      </c>
      <c r="AJ684">
        <v>8</v>
      </c>
      <c r="AK684">
        <v>9</v>
      </c>
      <c r="AL684">
        <v>1</v>
      </c>
      <c r="AM684">
        <v>745</v>
      </c>
      <c r="AN684">
        <v>784</v>
      </c>
      <c r="AO684">
        <v>732</v>
      </c>
      <c r="AQ684" s="27">
        <f t="shared" si="113"/>
        <v>6339.400000000001</v>
      </c>
    </row>
    <row r="685" spans="1:43" ht="12.75">
      <c r="A685" s="7" t="s">
        <v>970</v>
      </c>
      <c r="B685" s="7" t="s">
        <v>1038</v>
      </c>
      <c r="C685" t="s">
        <v>990</v>
      </c>
      <c r="D685" s="57">
        <v>3</v>
      </c>
      <c r="E685" s="7" t="s">
        <v>1947</v>
      </c>
      <c r="F685" s="19"/>
      <c r="G685" s="4">
        <f>IF(F685&gt;0,F685,IF(PrefetchDBSummary!$C$10="B",AJ685,8))</f>
        <v>8</v>
      </c>
      <c r="H685" s="4">
        <f>PrefetchDBSummary!C$15</f>
        <v>0</v>
      </c>
      <c r="I685" s="4">
        <f>PrefetchDBSummary!D$15</f>
        <v>0</v>
      </c>
      <c r="J685" s="5">
        <f t="shared" si="109"/>
        <v>0</v>
      </c>
      <c r="K685" s="4">
        <f t="shared" si="110"/>
        <v>0</v>
      </c>
      <c r="L685" s="4">
        <f t="shared" si="111"/>
        <v>0</v>
      </c>
      <c r="M685" s="5">
        <f t="shared" si="112"/>
        <v>0</v>
      </c>
      <c r="N685" s="17">
        <f t="shared" si="107"/>
        <v>0</v>
      </c>
      <c r="O685" s="32">
        <f t="shared" si="108"/>
        <v>0</v>
      </c>
      <c r="AG685" t="s">
        <v>1022</v>
      </c>
      <c r="AH685" t="s">
        <v>583</v>
      </c>
      <c r="AI685">
        <v>5</v>
      </c>
      <c r="AJ685">
        <v>8</v>
      </c>
      <c r="AK685">
        <v>13</v>
      </c>
      <c r="AL685">
        <v>1</v>
      </c>
      <c r="AM685">
        <v>1149</v>
      </c>
      <c r="AN685">
        <v>1188</v>
      </c>
      <c r="AO685">
        <v>1132</v>
      </c>
      <c r="AQ685" s="27">
        <f t="shared" si="113"/>
        <v>1975.4</v>
      </c>
    </row>
    <row r="686" spans="1:43" ht="12.75">
      <c r="A686" s="7" t="s">
        <v>970</v>
      </c>
      <c r="B686" s="7" t="s">
        <v>1038</v>
      </c>
      <c r="C686" t="s">
        <v>991</v>
      </c>
      <c r="D686" s="57">
        <v>3</v>
      </c>
      <c r="E686" s="7" t="s">
        <v>1947</v>
      </c>
      <c r="F686" s="19"/>
      <c r="G686" s="4">
        <f>IF(F686&gt;0,F686,IF(PrefetchDBSummary!$C$10="B",AJ686,8))</f>
        <v>8</v>
      </c>
      <c r="H686" s="4">
        <f>PrefetchDBSummary!C$15</f>
        <v>0</v>
      </c>
      <c r="I686" s="4">
        <f>PrefetchDBSummary!D$15</f>
        <v>0</v>
      </c>
      <c r="J686" s="5">
        <f t="shared" si="109"/>
        <v>0</v>
      </c>
      <c r="K686" s="4">
        <f t="shared" si="110"/>
        <v>0</v>
      </c>
      <c r="L686" s="4">
        <f t="shared" si="111"/>
        <v>0</v>
      </c>
      <c r="M686" s="5">
        <f t="shared" si="112"/>
        <v>0</v>
      </c>
      <c r="N686" s="17">
        <f t="shared" si="107"/>
        <v>0</v>
      </c>
      <c r="O686" s="32">
        <f t="shared" si="108"/>
        <v>0</v>
      </c>
      <c r="AG686" t="s">
        <v>1023</v>
      </c>
      <c r="AH686" t="s">
        <v>583</v>
      </c>
      <c r="AI686">
        <v>5</v>
      </c>
      <c r="AJ686">
        <v>8</v>
      </c>
      <c r="AK686">
        <v>10</v>
      </c>
      <c r="AL686">
        <v>1</v>
      </c>
      <c r="AM686">
        <v>846</v>
      </c>
      <c r="AN686">
        <v>885</v>
      </c>
      <c r="AO686">
        <v>832</v>
      </c>
      <c r="AQ686" s="27">
        <f t="shared" si="113"/>
        <v>1549.4</v>
      </c>
    </row>
    <row r="687" spans="1:43" ht="12.75">
      <c r="A687" s="7" t="s">
        <v>970</v>
      </c>
      <c r="B687" s="7" t="s">
        <v>1038</v>
      </c>
      <c r="C687" t="s">
        <v>992</v>
      </c>
      <c r="D687" s="57">
        <v>3</v>
      </c>
      <c r="E687" s="7" t="s">
        <v>1947</v>
      </c>
      <c r="F687" s="19"/>
      <c r="G687" s="4">
        <f>IF(F687&gt;0,F687,IF(PrefetchDBSummary!$C$10="B",AJ687,8))</f>
        <v>8</v>
      </c>
      <c r="H687" s="4">
        <f>PrefetchDBSummary!C$15</f>
        <v>0</v>
      </c>
      <c r="I687" s="4">
        <f>PrefetchDBSummary!D$15</f>
        <v>0</v>
      </c>
      <c r="J687" s="5">
        <f t="shared" si="109"/>
        <v>0</v>
      </c>
      <c r="K687" s="4">
        <f t="shared" si="110"/>
        <v>0</v>
      </c>
      <c r="L687" s="4">
        <f t="shared" si="111"/>
        <v>0</v>
      </c>
      <c r="M687" s="5">
        <f t="shared" si="112"/>
        <v>0</v>
      </c>
      <c r="N687" s="17">
        <f aca="true" t="shared" si="114" ref="N687:N750">L687*60*24*IF(G687&gt;0,G687,(G687))</f>
        <v>0</v>
      </c>
      <c r="O687" s="32">
        <f aca="true" t="shared" si="115" ref="O687:O750">N687*($AM687-$AO687*IF($AP687&gt;0,1-$AP687,1-$AS$2))*(1-$AS$3)/1024/1024</f>
        <v>0</v>
      </c>
      <c r="AG687" t="s">
        <v>1024</v>
      </c>
      <c r="AH687" t="s">
        <v>583</v>
      </c>
      <c r="AI687">
        <v>5</v>
      </c>
      <c r="AJ687">
        <v>8</v>
      </c>
      <c r="AK687">
        <v>9</v>
      </c>
      <c r="AL687">
        <v>1</v>
      </c>
      <c r="AM687">
        <v>745</v>
      </c>
      <c r="AN687">
        <v>784</v>
      </c>
      <c r="AO687">
        <v>732</v>
      </c>
      <c r="AQ687" s="27">
        <f t="shared" si="113"/>
        <v>1407.4</v>
      </c>
    </row>
    <row r="688" spans="1:43" ht="12.75">
      <c r="A688" s="7" t="s">
        <v>970</v>
      </c>
      <c r="B688" s="7" t="s">
        <v>1038</v>
      </c>
      <c r="C688" t="s">
        <v>993</v>
      </c>
      <c r="D688" s="57">
        <v>3</v>
      </c>
      <c r="E688" s="7" t="s">
        <v>1947</v>
      </c>
      <c r="F688" s="19"/>
      <c r="G688" s="4">
        <f>IF(F688&gt;0,F688,IF(PrefetchDBSummary!$C$10="B",AJ688,8))</f>
        <v>8</v>
      </c>
      <c r="H688" s="4">
        <f>PrefetchDBSummary!C$15</f>
        <v>0</v>
      </c>
      <c r="I688" s="4">
        <f>PrefetchDBSummary!D$15</f>
        <v>0</v>
      </c>
      <c r="J688" s="5">
        <f t="shared" si="109"/>
        <v>0</v>
      </c>
      <c r="K688" s="4">
        <f t="shared" si="110"/>
        <v>0</v>
      </c>
      <c r="L688" s="4">
        <f t="shared" si="111"/>
        <v>0</v>
      </c>
      <c r="M688" s="5">
        <f t="shared" si="112"/>
        <v>0</v>
      </c>
      <c r="N688" s="17">
        <f t="shared" si="114"/>
        <v>0</v>
      </c>
      <c r="O688" s="32">
        <f t="shared" si="115"/>
        <v>0</v>
      </c>
      <c r="AG688" t="s">
        <v>1025</v>
      </c>
      <c r="AH688" t="s">
        <v>583</v>
      </c>
      <c r="AI688">
        <v>5</v>
      </c>
      <c r="AJ688">
        <v>8</v>
      </c>
      <c r="AK688">
        <v>6</v>
      </c>
      <c r="AL688">
        <v>1</v>
      </c>
      <c r="AM688">
        <v>358</v>
      </c>
      <c r="AN688">
        <v>397</v>
      </c>
      <c r="AO688">
        <v>332</v>
      </c>
      <c r="AQ688" s="27">
        <f t="shared" si="113"/>
        <v>909.4000000000001</v>
      </c>
    </row>
    <row r="689" spans="1:43" ht="12.75">
      <c r="A689" s="7" t="s">
        <v>970</v>
      </c>
      <c r="B689" s="7" t="s">
        <v>1038</v>
      </c>
      <c r="C689" t="s">
        <v>994</v>
      </c>
      <c r="D689" s="57">
        <v>6</v>
      </c>
      <c r="E689" s="7" t="s">
        <v>1950</v>
      </c>
      <c r="F689" s="19"/>
      <c r="G689" s="4">
        <f>IF(F689&gt;0,F689,IF(PrefetchDBSummary!$C$10="B",AJ689,8))</f>
        <v>8</v>
      </c>
      <c r="H689" s="4">
        <f>PrefetchDBSummary!C$15</f>
        <v>0</v>
      </c>
      <c r="I689" s="4">
        <f>PrefetchDBSummary!D$15</f>
        <v>0</v>
      </c>
      <c r="J689" s="5">
        <f t="shared" si="109"/>
        <v>0</v>
      </c>
      <c r="K689" s="4">
        <f t="shared" si="110"/>
        <v>0</v>
      </c>
      <c r="L689" s="4">
        <f t="shared" si="111"/>
        <v>0</v>
      </c>
      <c r="M689" s="5">
        <f t="shared" si="112"/>
        <v>0</v>
      </c>
      <c r="N689" s="17">
        <f t="shared" si="114"/>
        <v>0</v>
      </c>
      <c r="O689" s="32">
        <f t="shared" si="115"/>
        <v>0</v>
      </c>
      <c r="AG689" t="s">
        <v>1026</v>
      </c>
      <c r="AH689" t="s">
        <v>583</v>
      </c>
      <c r="AI689">
        <v>5</v>
      </c>
      <c r="AJ689">
        <v>8</v>
      </c>
      <c r="AK689">
        <v>11</v>
      </c>
      <c r="AL689">
        <v>1</v>
      </c>
      <c r="AM689">
        <v>947</v>
      </c>
      <c r="AN689">
        <v>986</v>
      </c>
      <c r="AO689">
        <v>932</v>
      </c>
      <c r="AQ689" s="27">
        <f t="shared" si="113"/>
        <v>2923.8</v>
      </c>
    </row>
    <row r="690" spans="1:43" ht="12.75">
      <c r="A690" s="7" t="s">
        <v>970</v>
      </c>
      <c r="B690" s="7" t="s">
        <v>1038</v>
      </c>
      <c r="C690" t="s">
        <v>995</v>
      </c>
      <c r="D690" s="57">
        <v>13</v>
      </c>
      <c r="E690" s="7" t="s">
        <v>1951</v>
      </c>
      <c r="F690" s="19"/>
      <c r="G690" s="4">
        <f>IF(F690&gt;0,F690,IF(PrefetchDBSummary!$C$10="B",AJ690,8))</f>
        <v>8</v>
      </c>
      <c r="H690" s="4">
        <f>PrefetchDBSummary!C$15</f>
        <v>0</v>
      </c>
      <c r="I690" s="4">
        <f>PrefetchDBSummary!D$15</f>
        <v>0</v>
      </c>
      <c r="J690" s="5">
        <f t="shared" si="109"/>
        <v>0</v>
      </c>
      <c r="K690" s="4">
        <f t="shared" si="110"/>
        <v>0</v>
      </c>
      <c r="L690" s="4">
        <f t="shared" si="111"/>
        <v>0</v>
      </c>
      <c r="M690" s="5">
        <f t="shared" si="112"/>
        <v>0</v>
      </c>
      <c r="N690" s="17">
        <f t="shared" si="114"/>
        <v>0</v>
      </c>
      <c r="O690" s="32">
        <f t="shared" si="115"/>
        <v>0</v>
      </c>
      <c r="AG690" t="s">
        <v>1027</v>
      </c>
      <c r="AH690" t="s">
        <v>583</v>
      </c>
      <c r="AI690">
        <v>5</v>
      </c>
      <c r="AJ690">
        <v>8</v>
      </c>
      <c r="AK690">
        <v>8</v>
      </c>
      <c r="AL690">
        <v>0</v>
      </c>
      <c r="AM690">
        <v>740</v>
      </c>
      <c r="AN690">
        <v>740</v>
      </c>
      <c r="AO690">
        <v>732</v>
      </c>
      <c r="AQ690" s="27">
        <f t="shared" si="113"/>
        <v>4611.400000000001</v>
      </c>
    </row>
    <row r="691" spans="1:43" ht="12.75">
      <c r="A691" s="7" t="s">
        <v>970</v>
      </c>
      <c r="B691" s="7" t="s">
        <v>1038</v>
      </c>
      <c r="C691" t="s">
        <v>996</v>
      </c>
      <c r="D691" s="82">
        <v>16</v>
      </c>
      <c r="E691" s="7" t="s">
        <v>1953</v>
      </c>
      <c r="F691" s="19"/>
      <c r="G691" s="4">
        <f>IF(F691&gt;0,F691,IF(PrefetchDBSummary!$C$10="B",AJ691,8))</f>
        <v>8</v>
      </c>
      <c r="H691" s="4">
        <f>PrefetchDBSummary!C$15</f>
        <v>0</v>
      </c>
      <c r="I691" s="4">
        <f>PrefetchDBSummary!D$15</f>
        <v>0</v>
      </c>
      <c r="J691" s="5">
        <f t="shared" si="109"/>
        <v>0</v>
      </c>
      <c r="K691" s="4">
        <f t="shared" si="110"/>
        <v>0</v>
      </c>
      <c r="L691" s="4">
        <f t="shared" si="111"/>
        <v>0</v>
      </c>
      <c r="M691" s="5">
        <f t="shared" si="112"/>
        <v>0</v>
      </c>
      <c r="N691" s="17">
        <f t="shared" si="114"/>
        <v>0</v>
      </c>
      <c r="O691" s="32">
        <f t="shared" si="115"/>
        <v>0</v>
      </c>
      <c r="AG691" t="s">
        <v>1028</v>
      </c>
      <c r="AH691" t="s">
        <v>583</v>
      </c>
      <c r="AI691">
        <v>5</v>
      </c>
      <c r="AJ691">
        <v>8</v>
      </c>
      <c r="AK691">
        <v>11</v>
      </c>
      <c r="AL691">
        <v>0</v>
      </c>
      <c r="AM691">
        <v>1043</v>
      </c>
      <c r="AN691">
        <v>1043</v>
      </c>
      <c r="AO691">
        <v>1032</v>
      </c>
      <c r="AQ691" s="27">
        <f t="shared" si="113"/>
        <v>7607.8</v>
      </c>
    </row>
    <row r="692" spans="1:43" ht="12.75">
      <c r="A692" s="7" t="s">
        <v>970</v>
      </c>
      <c r="B692" s="7" t="s">
        <v>1038</v>
      </c>
      <c r="C692" t="s">
        <v>997</v>
      </c>
      <c r="D692" s="82">
        <v>16</v>
      </c>
      <c r="E692" s="7" t="s">
        <v>1954</v>
      </c>
      <c r="F692" s="19"/>
      <c r="G692" s="4">
        <f>IF(F692&gt;0,F692,IF(PrefetchDBSummary!$C$10="B",AJ692,8))</f>
        <v>8</v>
      </c>
      <c r="H692" s="4">
        <f>PrefetchDBSummary!C$15</f>
        <v>0</v>
      </c>
      <c r="I692" s="4">
        <f>PrefetchDBSummary!D$15</f>
        <v>0</v>
      </c>
      <c r="J692" s="5">
        <f t="shared" si="109"/>
        <v>0</v>
      </c>
      <c r="K692" s="4">
        <f t="shared" si="110"/>
        <v>0</v>
      </c>
      <c r="L692" s="4">
        <f t="shared" si="111"/>
        <v>0</v>
      </c>
      <c r="M692" s="5">
        <f t="shared" si="112"/>
        <v>0</v>
      </c>
      <c r="N692" s="17">
        <f t="shared" si="114"/>
        <v>0</v>
      </c>
      <c r="O692" s="32">
        <f t="shared" si="115"/>
        <v>0</v>
      </c>
      <c r="AG692" t="s">
        <v>1029</v>
      </c>
      <c r="AH692" t="s">
        <v>583</v>
      </c>
      <c r="AI692">
        <v>5</v>
      </c>
      <c r="AJ692">
        <v>8</v>
      </c>
      <c r="AK692">
        <v>7</v>
      </c>
      <c r="AL692">
        <v>0</v>
      </c>
      <c r="AM692">
        <v>639</v>
      </c>
      <c r="AN692">
        <v>639</v>
      </c>
      <c r="AO692">
        <v>632</v>
      </c>
      <c r="AQ692" s="27">
        <f t="shared" si="113"/>
        <v>4907.8</v>
      </c>
    </row>
    <row r="693" spans="1:43" ht="12.75">
      <c r="A693" s="7" t="s">
        <v>970</v>
      </c>
      <c r="B693" s="7" t="s">
        <v>1038</v>
      </c>
      <c r="C693" t="s">
        <v>998</v>
      </c>
      <c r="D693" s="57">
        <v>7</v>
      </c>
      <c r="E693" s="7" t="s">
        <v>1952</v>
      </c>
      <c r="F693" s="19"/>
      <c r="G693" s="4">
        <f>IF(F693&gt;0,F693,IF(PrefetchDBSummary!$C$10="B",AJ693,8))</f>
        <v>8</v>
      </c>
      <c r="H693" s="4">
        <f>PrefetchDBSummary!C$15</f>
        <v>0</v>
      </c>
      <c r="I693" s="4">
        <f>PrefetchDBSummary!D$15</f>
        <v>0</v>
      </c>
      <c r="J693" s="5">
        <f t="shared" si="109"/>
        <v>0</v>
      </c>
      <c r="K693" s="4">
        <f t="shared" si="110"/>
        <v>0</v>
      </c>
      <c r="L693" s="4">
        <f t="shared" si="111"/>
        <v>0</v>
      </c>
      <c r="M693" s="5">
        <f t="shared" si="112"/>
        <v>0</v>
      </c>
      <c r="N693" s="17">
        <f t="shared" si="114"/>
        <v>0</v>
      </c>
      <c r="O693" s="32">
        <f t="shared" si="115"/>
        <v>0</v>
      </c>
      <c r="AG693" t="s">
        <v>1030</v>
      </c>
      <c r="AH693" t="s">
        <v>583</v>
      </c>
      <c r="AI693">
        <v>5</v>
      </c>
      <c r="AJ693">
        <v>8</v>
      </c>
      <c r="AK693">
        <v>15</v>
      </c>
      <c r="AL693">
        <v>1</v>
      </c>
      <c r="AM693">
        <v>1351</v>
      </c>
      <c r="AN693">
        <v>1390</v>
      </c>
      <c r="AO693">
        <v>1332</v>
      </c>
      <c r="AQ693" s="27">
        <f t="shared" si="113"/>
        <v>4558.6</v>
      </c>
    </row>
    <row r="694" spans="1:43" ht="12.75">
      <c r="A694" s="7" t="s">
        <v>970</v>
      </c>
      <c r="B694" s="7" t="s">
        <v>1038</v>
      </c>
      <c r="C694" t="s">
        <v>999</v>
      </c>
      <c r="D694" s="82">
        <v>6</v>
      </c>
      <c r="E694" s="7" t="s">
        <v>1952</v>
      </c>
      <c r="F694" s="19"/>
      <c r="G694" s="4">
        <f>IF(F694&gt;0,F694,IF(PrefetchDBSummary!$C$10="B",AJ694,8))</f>
        <v>8</v>
      </c>
      <c r="H694" s="4">
        <f>PrefetchDBSummary!C$15</f>
        <v>0</v>
      </c>
      <c r="I694" s="4">
        <f>PrefetchDBSummary!D$15</f>
        <v>0</v>
      </c>
      <c r="J694" s="5">
        <f t="shared" si="109"/>
        <v>0</v>
      </c>
      <c r="K694" s="4">
        <f t="shared" si="110"/>
        <v>0</v>
      </c>
      <c r="L694" s="4">
        <f t="shared" si="111"/>
        <v>0</v>
      </c>
      <c r="M694" s="5">
        <f t="shared" si="112"/>
        <v>0</v>
      </c>
      <c r="N694" s="17">
        <f t="shared" si="114"/>
        <v>0</v>
      </c>
      <c r="O694" s="32">
        <f t="shared" si="115"/>
        <v>0</v>
      </c>
      <c r="AG694" t="s">
        <v>1031</v>
      </c>
      <c r="AH694" t="s">
        <v>583</v>
      </c>
      <c r="AI694">
        <v>5</v>
      </c>
      <c r="AJ694">
        <v>8</v>
      </c>
      <c r="AK694">
        <v>9</v>
      </c>
      <c r="AL694">
        <v>0</v>
      </c>
      <c r="AM694">
        <v>841</v>
      </c>
      <c r="AN694">
        <v>841</v>
      </c>
      <c r="AO694">
        <v>832</v>
      </c>
      <c r="AQ694" s="27">
        <f t="shared" si="113"/>
        <v>2609.8</v>
      </c>
    </row>
    <row r="695" spans="1:43" ht="12.75">
      <c r="A695" s="7" t="s">
        <v>970</v>
      </c>
      <c r="B695" s="7" t="s">
        <v>1038</v>
      </c>
      <c r="C695" t="s">
        <v>1000</v>
      </c>
      <c r="D695" s="57">
        <v>6</v>
      </c>
      <c r="E695" s="7" t="s">
        <v>1952</v>
      </c>
      <c r="F695" s="19"/>
      <c r="G695" s="4">
        <f>IF(F695&gt;0,F695,IF(PrefetchDBSummary!$C$10="B",AJ695,8))</f>
        <v>8</v>
      </c>
      <c r="H695" s="4">
        <f>PrefetchDBSummary!C$15</f>
        <v>0</v>
      </c>
      <c r="I695" s="4">
        <f>PrefetchDBSummary!D$15</f>
        <v>0</v>
      </c>
      <c r="J695" s="5">
        <f t="shared" si="109"/>
        <v>0</v>
      </c>
      <c r="K695" s="4">
        <f t="shared" si="110"/>
        <v>0</v>
      </c>
      <c r="L695" s="4">
        <f t="shared" si="111"/>
        <v>0</v>
      </c>
      <c r="M695" s="5">
        <f t="shared" si="112"/>
        <v>0</v>
      </c>
      <c r="N695" s="17">
        <f t="shared" si="114"/>
        <v>0</v>
      </c>
      <c r="O695" s="32">
        <f t="shared" si="115"/>
        <v>0</v>
      </c>
      <c r="AG695" t="s">
        <v>1032</v>
      </c>
      <c r="AH695" t="s">
        <v>583</v>
      </c>
      <c r="AI695">
        <v>5</v>
      </c>
      <c r="AJ695">
        <v>8</v>
      </c>
      <c r="AK695">
        <v>10</v>
      </c>
      <c r="AL695">
        <v>0</v>
      </c>
      <c r="AM695">
        <v>942</v>
      </c>
      <c r="AN695">
        <v>942</v>
      </c>
      <c r="AO695">
        <v>932</v>
      </c>
      <c r="AQ695" s="27">
        <f t="shared" si="113"/>
        <v>2874.8</v>
      </c>
    </row>
    <row r="696" spans="1:43" ht="12.75">
      <c r="A696" s="7" t="s">
        <v>970</v>
      </c>
      <c r="B696" s="7" t="s">
        <v>1038</v>
      </c>
      <c r="C696" t="s">
        <v>1001</v>
      </c>
      <c r="D696" s="57">
        <v>6</v>
      </c>
      <c r="E696" s="7" t="s">
        <v>1952</v>
      </c>
      <c r="F696" s="19"/>
      <c r="G696" s="4">
        <f>IF(F696&gt;0,F696,IF(PrefetchDBSummary!$C$10="B",AJ696,8))</f>
        <v>8</v>
      </c>
      <c r="H696" s="4">
        <f>PrefetchDBSummary!C$15</f>
        <v>0</v>
      </c>
      <c r="I696" s="4">
        <f>PrefetchDBSummary!D$15</f>
        <v>0</v>
      </c>
      <c r="J696" s="5">
        <f t="shared" si="109"/>
        <v>0</v>
      </c>
      <c r="K696" s="4">
        <f t="shared" si="110"/>
        <v>0</v>
      </c>
      <c r="L696" s="4">
        <f t="shared" si="111"/>
        <v>0</v>
      </c>
      <c r="M696" s="5">
        <f t="shared" si="112"/>
        <v>0</v>
      </c>
      <c r="N696" s="17">
        <f t="shared" si="114"/>
        <v>0</v>
      </c>
      <c r="O696" s="32">
        <f t="shared" si="115"/>
        <v>0</v>
      </c>
      <c r="AG696" t="s">
        <v>1033</v>
      </c>
      <c r="AH696" t="s">
        <v>583</v>
      </c>
      <c r="AI696">
        <v>5</v>
      </c>
      <c r="AJ696">
        <v>8</v>
      </c>
      <c r="AK696">
        <v>6</v>
      </c>
      <c r="AL696">
        <v>1</v>
      </c>
      <c r="AM696">
        <v>370</v>
      </c>
      <c r="AN696">
        <v>421</v>
      </c>
      <c r="AO696">
        <v>332</v>
      </c>
      <c r="AQ696" s="27">
        <f t="shared" si="113"/>
        <v>1526.8000000000002</v>
      </c>
    </row>
    <row r="697" spans="1:43" ht="12.75">
      <c r="A697" s="7" t="s">
        <v>970</v>
      </c>
      <c r="B697" s="7" t="s">
        <v>1038</v>
      </c>
      <c r="C697" t="s">
        <v>1002</v>
      </c>
      <c r="D697" s="57">
        <v>5</v>
      </c>
      <c r="E697" s="7" t="s">
        <v>1952</v>
      </c>
      <c r="F697" s="19"/>
      <c r="G697" s="4">
        <f>IF(F697&gt;0,F697,IF(PrefetchDBSummary!$C$10="B",AJ697,8))</f>
        <v>8</v>
      </c>
      <c r="H697" s="4">
        <f>PrefetchDBSummary!C$15</f>
        <v>0</v>
      </c>
      <c r="I697" s="4">
        <f>PrefetchDBSummary!D$15</f>
        <v>0</v>
      </c>
      <c r="J697" s="5">
        <f t="shared" si="109"/>
        <v>0</v>
      </c>
      <c r="K697" s="4">
        <f t="shared" si="110"/>
        <v>0</v>
      </c>
      <c r="L697" s="4">
        <f t="shared" si="111"/>
        <v>0</v>
      </c>
      <c r="M697" s="5">
        <f t="shared" si="112"/>
        <v>0</v>
      </c>
      <c r="N697" s="17">
        <f t="shared" si="114"/>
        <v>0</v>
      </c>
      <c r="O697" s="32">
        <f t="shared" si="115"/>
        <v>0</v>
      </c>
      <c r="AG697" t="s">
        <v>1034</v>
      </c>
      <c r="AH697" t="s">
        <v>583</v>
      </c>
      <c r="AI697">
        <v>5</v>
      </c>
      <c r="AJ697">
        <v>8</v>
      </c>
      <c r="AK697">
        <v>13</v>
      </c>
      <c r="AL697">
        <v>0</v>
      </c>
      <c r="AM697">
        <v>1245</v>
      </c>
      <c r="AN697">
        <v>1245</v>
      </c>
      <c r="AO697">
        <v>1232</v>
      </c>
      <c r="AQ697" s="27">
        <f t="shared" si="113"/>
        <v>3141</v>
      </c>
    </row>
    <row r="698" spans="1:43" ht="12.75">
      <c r="A698" s="59" t="s">
        <v>1177</v>
      </c>
      <c r="B698" s="7" t="s">
        <v>1267</v>
      </c>
      <c r="C698" t="s">
        <v>1178</v>
      </c>
      <c r="D698" s="57">
        <v>3</v>
      </c>
      <c r="E698" s="18" t="s">
        <v>1297</v>
      </c>
      <c r="F698" s="19"/>
      <c r="G698" s="4">
        <f>IF(F698&gt;0,F698,IF(PrefetchDBSummary!$C$10="B",AJ698,8))</f>
        <v>8</v>
      </c>
      <c r="H698" s="4">
        <f>PrefetchDBSummary!C$16</f>
        <v>0</v>
      </c>
      <c r="I698" s="4">
        <f>PrefetchDBSummary!D$16</f>
        <v>0</v>
      </c>
      <c r="J698" s="5">
        <f t="shared" si="109"/>
        <v>0</v>
      </c>
      <c r="K698" s="4">
        <f t="shared" si="110"/>
        <v>0</v>
      </c>
      <c r="L698" s="4">
        <f t="shared" si="111"/>
        <v>0</v>
      </c>
      <c r="M698" s="5">
        <f t="shared" si="112"/>
        <v>0</v>
      </c>
      <c r="N698" s="17">
        <f t="shared" si="114"/>
        <v>0</v>
      </c>
      <c r="O698" s="32">
        <f t="shared" si="115"/>
        <v>0</v>
      </c>
      <c r="AG698" t="s">
        <v>1205</v>
      </c>
      <c r="AH698" t="s">
        <v>583</v>
      </c>
      <c r="AI698">
        <v>1</v>
      </c>
      <c r="AJ698">
        <v>8</v>
      </c>
      <c r="AK698">
        <v>16</v>
      </c>
      <c r="AL698">
        <v>13</v>
      </c>
      <c r="AM698">
        <v>328</v>
      </c>
      <c r="AN698">
        <v>847</v>
      </c>
      <c r="AO698">
        <v>232</v>
      </c>
      <c r="AQ698" s="27">
        <f t="shared" si="113"/>
        <v>1189.4</v>
      </c>
    </row>
    <row r="699" spans="1:43" ht="12.75">
      <c r="A699" s="59" t="s">
        <v>1177</v>
      </c>
      <c r="B699" s="7" t="s">
        <v>1267</v>
      </c>
      <c r="C699" t="s">
        <v>1179</v>
      </c>
      <c r="D699" s="57">
        <v>3</v>
      </c>
      <c r="E699" s="18" t="s">
        <v>1297</v>
      </c>
      <c r="F699" s="19"/>
      <c r="G699" s="4">
        <f>IF(F699&gt;0,F699,IF(PrefetchDBSummary!$C$10="B",AJ699,8))</f>
        <v>8</v>
      </c>
      <c r="H699" s="4">
        <f>PrefetchDBSummary!C$16</f>
        <v>0</v>
      </c>
      <c r="I699" s="4">
        <f>PrefetchDBSummary!D$16</f>
        <v>0</v>
      </c>
      <c r="J699" s="5">
        <f t="shared" si="109"/>
        <v>0</v>
      </c>
      <c r="K699" s="4">
        <f t="shared" si="110"/>
        <v>0</v>
      </c>
      <c r="L699" s="4">
        <f t="shared" si="111"/>
        <v>0</v>
      </c>
      <c r="M699" s="5">
        <f t="shared" si="112"/>
        <v>0</v>
      </c>
      <c r="N699" s="17">
        <f t="shared" si="114"/>
        <v>0</v>
      </c>
      <c r="O699" s="32">
        <f t="shared" si="115"/>
        <v>0</v>
      </c>
      <c r="AG699" t="s">
        <v>1206</v>
      </c>
      <c r="AH699" t="s">
        <v>583</v>
      </c>
      <c r="AI699">
        <v>8</v>
      </c>
      <c r="AJ699">
        <v>32</v>
      </c>
      <c r="AK699">
        <v>8</v>
      </c>
      <c r="AL699">
        <v>0</v>
      </c>
      <c r="AM699">
        <v>1440</v>
      </c>
      <c r="AN699">
        <v>1440</v>
      </c>
      <c r="AO699">
        <v>1432</v>
      </c>
      <c r="AQ699" s="27">
        <f t="shared" si="113"/>
        <v>2213.4</v>
      </c>
    </row>
    <row r="700" spans="1:43" ht="12.75">
      <c r="A700" s="59" t="s">
        <v>1177</v>
      </c>
      <c r="B700" s="7" t="s">
        <v>1267</v>
      </c>
      <c r="C700" t="s">
        <v>1180</v>
      </c>
      <c r="D700" s="57">
        <v>1</v>
      </c>
      <c r="E700" s="18" t="s">
        <v>1298</v>
      </c>
      <c r="F700" s="19"/>
      <c r="G700" s="4">
        <f>IF(F700&gt;0,F700,IF(PrefetchDBSummary!$C$10="B",AJ700,8))</f>
        <v>8</v>
      </c>
      <c r="H700" s="4">
        <f>PrefetchDBSummary!C$16</f>
        <v>0</v>
      </c>
      <c r="I700" s="4">
        <f>PrefetchDBSummary!D$16</f>
        <v>0</v>
      </c>
      <c r="J700" s="5">
        <f t="shared" si="109"/>
        <v>0</v>
      </c>
      <c r="K700" s="4">
        <f t="shared" si="110"/>
        <v>0</v>
      </c>
      <c r="L700" s="4">
        <f t="shared" si="111"/>
        <v>0</v>
      </c>
      <c r="M700" s="5">
        <f t="shared" si="112"/>
        <v>0</v>
      </c>
      <c r="N700" s="17">
        <f t="shared" si="114"/>
        <v>0</v>
      </c>
      <c r="O700" s="32">
        <f t="shared" si="115"/>
        <v>0</v>
      </c>
      <c r="AG700" t="s">
        <v>1207</v>
      </c>
      <c r="AH700" t="s">
        <v>583</v>
      </c>
      <c r="AI700">
        <v>1</v>
      </c>
      <c r="AJ700">
        <v>32</v>
      </c>
      <c r="AK700">
        <v>9</v>
      </c>
      <c r="AL700">
        <v>6</v>
      </c>
      <c r="AM700">
        <v>281</v>
      </c>
      <c r="AN700">
        <v>515</v>
      </c>
      <c r="AO700">
        <v>232</v>
      </c>
      <c r="AQ700" s="27">
        <f t="shared" si="113"/>
        <v>585.8</v>
      </c>
    </row>
    <row r="701" spans="1:43" ht="12.75">
      <c r="A701" s="59" t="s">
        <v>1177</v>
      </c>
      <c r="B701" s="7" t="s">
        <v>1267</v>
      </c>
      <c r="C701" t="s">
        <v>1181</v>
      </c>
      <c r="D701" s="57">
        <v>1</v>
      </c>
      <c r="E701" s="18" t="s">
        <v>1298</v>
      </c>
      <c r="F701" s="19"/>
      <c r="G701" s="4">
        <f>IF(F701&gt;0,F701,IF(PrefetchDBSummary!$C$10="B",AJ701,8))</f>
        <v>8</v>
      </c>
      <c r="H701" s="4">
        <f>PrefetchDBSummary!C$16</f>
        <v>0</v>
      </c>
      <c r="I701" s="4">
        <f>PrefetchDBSummary!D$16</f>
        <v>0</v>
      </c>
      <c r="J701" s="5">
        <f t="shared" si="109"/>
        <v>0</v>
      </c>
      <c r="K701" s="4">
        <f t="shared" si="110"/>
        <v>0</v>
      </c>
      <c r="L701" s="4">
        <f t="shared" si="111"/>
        <v>0</v>
      </c>
      <c r="M701" s="5">
        <f t="shared" si="112"/>
        <v>0</v>
      </c>
      <c r="N701" s="17">
        <f t="shared" si="114"/>
        <v>0</v>
      </c>
      <c r="O701" s="32">
        <f t="shared" si="115"/>
        <v>0</v>
      </c>
      <c r="AG701" t="s">
        <v>1208</v>
      </c>
      <c r="AH701" t="s">
        <v>583</v>
      </c>
      <c r="AI701">
        <v>1</v>
      </c>
      <c r="AJ701">
        <v>8</v>
      </c>
      <c r="AK701">
        <v>16</v>
      </c>
      <c r="AL701">
        <v>13</v>
      </c>
      <c r="AM701">
        <v>328</v>
      </c>
      <c r="AN701">
        <v>847</v>
      </c>
      <c r="AO701">
        <v>232</v>
      </c>
      <c r="AQ701" s="27">
        <f t="shared" si="113"/>
        <v>765.8</v>
      </c>
    </row>
    <row r="702" spans="1:43" ht="12.75">
      <c r="A702" s="59" t="s">
        <v>1177</v>
      </c>
      <c r="B702" s="7" t="s">
        <v>1267</v>
      </c>
      <c r="C702" t="s">
        <v>1182</v>
      </c>
      <c r="D702" s="57">
        <v>1</v>
      </c>
      <c r="E702" s="18" t="s">
        <v>1298</v>
      </c>
      <c r="F702" s="19"/>
      <c r="G702" s="4">
        <f>IF(F702&gt;0,F702,IF(PrefetchDBSummary!$C$10="B",AJ702,8))</f>
        <v>8</v>
      </c>
      <c r="H702" s="4">
        <f>PrefetchDBSummary!C$16</f>
        <v>0</v>
      </c>
      <c r="I702" s="4">
        <f>PrefetchDBSummary!D$16</f>
        <v>0</v>
      </c>
      <c r="J702" s="5">
        <f t="shared" si="109"/>
        <v>0</v>
      </c>
      <c r="K702" s="4">
        <f t="shared" si="110"/>
        <v>0</v>
      </c>
      <c r="L702" s="4">
        <f t="shared" si="111"/>
        <v>0</v>
      </c>
      <c r="M702" s="5">
        <f t="shared" si="112"/>
        <v>0</v>
      </c>
      <c r="N702" s="17">
        <f t="shared" si="114"/>
        <v>0</v>
      </c>
      <c r="O702" s="32">
        <f t="shared" si="115"/>
        <v>0</v>
      </c>
      <c r="AG702" t="s">
        <v>1209</v>
      </c>
      <c r="AH702" t="s">
        <v>583</v>
      </c>
      <c r="AI702">
        <v>8</v>
      </c>
      <c r="AJ702">
        <v>32</v>
      </c>
      <c r="AK702">
        <v>11</v>
      </c>
      <c r="AL702">
        <v>1</v>
      </c>
      <c r="AM702">
        <v>1847</v>
      </c>
      <c r="AN702">
        <v>1886</v>
      </c>
      <c r="AO702">
        <v>1832</v>
      </c>
      <c r="AQ702" s="27">
        <f t="shared" si="113"/>
        <v>1229.8000000000002</v>
      </c>
    </row>
    <row r="703" spans="1:43" ht="12.75">
      <c r="A703" s="59" t="s">
        <v>1177</v>
      </c>
      <c r="B703" s="7" t="s">
        <v>1267</v>
      </c>
      <c r="C703" t="s">
        <v>1183</v>
      </c>
      <c r="D703" s="57">
        <v>0</v>
      </c>
      <c r="E703" s="18" t="s">
        <v>1299</v>
      </c>
      <c r="F703" s="19"/>
      <c r="G703" s="4">
        <f>IF(F703&gt;0,F703,IF(PrefetchDBSummary!$C$10="B",AJ703,8))</f>
        <v>8</v>
      </c>
      <c r="H703" s="4">
        <f>PrefetchDBSummary!C$16</f>
        <v>0</v>
      </c>
      <c r="I703" s="4">
        <f>PrefetchDBSummary!D$16</f>
        <v>0</v>
      </c>
      <c r="J703" s="5">
        <f aca="true" t="shared" si="116" ref="J703:J766">IF(H703&gt;0,(AQ703)/(AI703*60),IF(I703&gt;0,(AQ703)/(5*60),0))</f>
        <v>0</v>
      </c>
      <c r="K703" s="4">
        <f aca="true" t="shared" si="117" ref="K703:K766">IF(H703&gt;0,D703/AI703,IF(I703&gt;0,D703/5,0))</f>
        <v>0</v>
      </c>
      <c r="L703" s="4">
        <f aca="true" t="shared" si="118" ref="L703:L766">H703*D703/AI703+I703*D703/5</f>
        <v>0</v>
      </c>
      <c r="M703" s="5">
        <f aca="true" t="shared" si="119" ref="M703:M766">L703*AM703*(1-IF(AP703&gt;0,AP703,$AS$2)*$AS$3)/1024</f>
        <v>0</v>
      </c>
      <c r="N703" s="17">
        <f t="shared" si="114"/>
        <v>0</v>
      </c>
      <c r="O703" s="32">
        <f t="shared" si="115"/>
        <v>0</v>
      </c>
      <c r="AG703" t="s">
        <v>1210</v>
      </c>
      <c r="AH703" t="s">
        <v>583</v>
      </c>
      <c r="AI703">
        <v>1</v>
      </c>
      <c r="AJ703">
        <v>8</v>
      </c>
      <c r="AK703">
        <v>6</v>
      </c>
      <c r="AL703">
        <v>0</v>
      </c>
      <c r="AM703">
        <v>554</v>
      </c>
      <c r="AN703">
        <v>554</v>
      </c>
      <c r="AO703">
        <v>532</v>
      </c>
      <c r="AQ703" s="27">
        <f t="shared" si="113"/>
        <v>364</v>
      </c>
    </row>
    <row r="704" spans="1:43" ht="12.75">
      <c r="A704" s="59" t="s">
        <v>1177</v>
      </c>
      <c r="B704" s="7" t="s">
        <v>1267</v>
      </c>
      <c r="C704" t="s">
        <v>1184</v>
      </c>
      <c r="D704" s="57">
        <v>0</v>
      </c>
      <c r="E704" s="18" t="s">
        <v>1300</v>
      </c>
      <c r="F704" s="19"/>
      <c r="G704" s="4">
        <f>IF(F704&gt;0,F704,IF(PrefetchDBSummary!$C$10="B",AJ704,8))</f>
        <v>8</v>
      </c>
      <c r="H704" s="4">
        <f>PrefetchDBSummary!C$16</f>
        <v>0</v>
      </c>
      <c r="I704" s="4">
        <f>PrefetchDBSummary!D$16</f>
        <v>0</v>
      </c>
      <c r="J704" s="5">
        <f t="shared" si="116"/>
        <v>0</v>
      </c>
      <c r="K704" s="4">
        <f t="shared" si="117"/>
        <v>0</v>
      </c>
      <c r="L704" s="4">
        <f t="shared" si="118"/>
        <v>0</v>
      </c>
      <c r="M704" s="5">
        <f t="shared" si="119"/>
        <v>0</v>
      </c>
      <c r="N704" s="17">
        <f t="shared" si="114"/>
        <v>0</v>
      </c>
      <c r="O704" s="32">
        <f t="shared" si="115"/>
        <v>0</v>
      </c>
      <c r="AG704" t="s">
        <v>1211</v>
      </c>
      <c r="AH704" t="s">
        <v>583</v>
      </c>
      <c r="AI704">
        <v>1</v>
      </c>
      <c r="AJ704">
        <v>32</v>
      </c>
      <c r="AK704">
        <v>8</v>
      </c>
      <c r="AL704">
        <v>0</v>
      </c>
      <c r="AM704">
        <v>1440</v>
      </c>
      <c r="AN704">
        <v>1440</v>
      </c>
      <c r="AO704">
        <v>1432</v>
      </c>
      <c r="AQ704" s="27">
        <f aca="true" t="shared" si="120" ref="AQ704:AQ767">250+19*AK704+D704*(23+(AM704-AO704)+AO704*(1-IF(AP704&gt;0,AP704,$AS$2)))</f>
        <v>402</v>
      </c>
    </row>
    <row r="705" spans="1:43" ht="12.75">
      <c r="A705" s="59" t="s">
        <v>1177</v>
      </c>
      <c r="B705" s="7" t="s">
        <v>1267</v>
      </c>
      <c r="C705" t="s">
        <v>1382</v>
      </c>
      <c r="D705" s="57">
        <v>1</v>
      </c>
      <c r="E705" s="18" t="s">
        <v>1301</v>
      </c>
      <c r="F705" s="19"/>
      <c r="G705" s="4">
        <f>IF(F705&gt;0,F705,IF(PrefetchDBSummary!$C$10="B",AJ705,8))</f>
        <v>8</v>
      </c>
      <c r="H705" s="4">
        <f>PrefetchDBSummary!C$16</f>
        <v>0</v>
      </c>
      <c r="I705" s="4">
        <f>PrefetchDBSummary!D$16</f>
        <v>0</v>
      </c>
      <c r="J705" s="5">
        <f t="shared" si="116"/>
        <v>0</v>
      </c>
      <c r="K705" s="4">
        <f t="shared" si="117"/>
        <v>0</v>
      </c>
      <c r="L705" s="4">
        <f t="shared" si="118"/>
        <v>0</v>
      </c>
      <c r="M705" s="5">
        <f t="shared" si="119"/>
        <v>0</v>
      </c>
      <c r="N705" s="17">
        <f t="shared" si="114"/>
        <v>0</v>
      </c>
      <c r="O705" s="32">
        <f t="shared" si="115"/>
        <v>0</v>
      </c>
      <c r="AG705" t="s">
        <v>1384</v>
      </c>
      <c r="AH705" t="s">
        <v>583</v>
      </c>
      <c r="AI705">
        <v>1</v>
      </c>
      <c r="AJ705">
        <v>8</v>
      </c>
      <c r="AK705">
        <v>7</v>
      </c>
      <c r="AL705">
        <v>0</v>
      </c>
      <c r="AM705">
        <v>655</v>
      </c>
      <c r="AN705">
        <v>655</v>
      </c>
      <c r="AO705">
        <v>632</v>
      </c>
      <c r="AQ705" s="27">
        <f t="shared" si="120"/>
        <v>681.8</v>
      </c>
    </row>
    <row r="706" spans="1:43" ht="12.75">
      <c r="A706" s="59" t="s">
        <v>1177</v>
      </c>
      <c r="B706" s="7" t="s">
        <v>1267</v>
      </c>
      <c r="C706" t="s">
        <v>1185</v>
      </c>
      <c r="D706" s="57">
        <v>1</v>
      </c>
      <c r="E706" s="18" t="s">
        <v>1301</v>
      </c>
      <c r="F706" s="19"/>
      <c r="G706" s="4">
        <f>IF(F706&gt;0,F706,IF(PrefetchDBSummary!$C$10="B",AJ706,8))</f>
        <v>8</v>
      </c>
      <c r="H706" s="4">
        <f>PrefetchDBSummary!C$16</f>
        <v>0</v>
      </c>
      <c r="I706" s="4">
        <f>PrefetchDBSummary!D$16</f>
        <v>0</v>
      </c>
      <c r="J706" s="5">
        <f t="shared" si="116"/>
        <v>0</v>
      </c>
      <c r="K706" s="4">
        <f t="shared" si="117"/>
        <v>0</v>
      </c>
      <c r="L706" s="4">
        <f t="shared" si="118"/>
        <v>0</v>
      </c>
      <c r="M706" s="5">
        <f t="shared" si="119"/>
        <v>0</v>
      </c>
      <c r="N706" s="17">
        <f t="shared" si="114"/>
        <v>0</v>
      </c>
      <c r="O706" s="32">
        <f t="shared" si="115"/>
        <v>0</v>
      </c>
      <c r="AG706" t="s">
        <v>1212</v>
      </c>
      <c r="AH706" t="s">
        <v>583</v>
      </c>
      <c r="AI706">
        <v>1</v>
      </c>
      <c r="AJ706">
        <v>32</v>
      </c>
      <c r="AK706">
        <v>9</v>
      </c>
      <c r="AL706">
        <v>6</v>
      </c>
      <c r="AM706">
        <v>281</v>
      </c>
      <c r="AN706">
        <v>515</v>
      </c>
      <c r="AO706">
        <v>232</v>
      </c>
      <c r="AQ706" s="27">
        <f t="shared" si="120"/>
        <v>585.8</v>
      </c>
    </row>
    <row r="707" spans="1:43" ht="12.75">
      <c r="A707" s="59" t="s">
        <v>1177</v>
      </c>
      <c r="B707" s="7" t="s">
        <v>1267</v>
      </c>
      <c r="C707" t="s">
        <v>1186</v>
      </c>
      <c r="D707" s="57">
        <v>1</v>
      </c>
      <c r="E707" s="18" t="s">
        <v>1301</v>
      </c>
      <c r="F707" s="19"/>
      <c r="G707" s="4">
        <f>IF(F707&gt;0,F707,IF(PrefetchDBSummary!$C$10="B",AJ707,8))</f>
        <v>8</v>
      </c>
      <c r="H707" s="4">
        <f>PrefetchDBSummary!C$16</f>
        <v>0</v>
      </c>
      <c r="I707" s="4">
        <f>PrefetchDBSummary!D$16</f>
        <v>0</v>
      </c>
      <c r="J707" s="5">
        <f t="shared" si="116"/>
        <v>0</v>
      </c>
      <c r="K707" s="4">
        <f t="shared" si="117"/>
        <v>0</v>
      </c>
      <c r="L707" s="4">
        <f t="shared" si="118"/>
        <v>0</v>
      </c>
      <c r="M707" s="5">
        <f t="shared" si="119"/>
        <v>0</v>
      </c>
      <c r="N707" s="17">
        <f t="shared" si="114"/>
        <v>0</v>
      </c>
      <c r="O707" s="32">
        <f t="shared" si="115"/>
        <v>0</v>
      </c>
      <c r="AG707" t="s">
        <v>1213</v>
      </c>
      <c r="AH707" t="s">
        <v>583</v>
      </c>
      <c r="AI707">
        <v>1</v>
      </c>
      <c r="AJ707">
        <v>8</v>
      </c>
      <c r="AK707">
        <v>16</v>
      </c>
      <c r="AL707">
        <v>13</v>
      </c>
      <c r="AM707">
        <v>328</v>
      </c>
      <c r="AN707">
        <v>847</v>
      </c>
      <c r="AO707">
        <v>232</v>
      </c>
      <c r="AQ707" s="27">
        <f t="shared" si="120"/>
        <v>765.8</v>
      </c>
    </row>
    <row r="708" spans="1:43" ht="12.75">
      <c r="A708" s="59" t="s">
        <v>1177</v>
      </c>
      <c r="B708" s="7" t="s">
        <v>1267</v>
      </c>
      <c r="C708" t="s">
        <v>1187</v>
      </c>
      <c r="D708" s="57">
        <v>1</v>
      </c>
      <c r="E708" s="18" t="s">
        <v>1302</v>
      </c>
      <c r="F708" s="19"/>
      <c r="G708" s="4">
        <f>IF(F708&gt;0,F708,IF(PrefetchDBSummary!$C$10="B",AJ708,8))</f>
        <v>8</v>
      </c>
      <c r="H708" s="4">
        <f>PrefetchDBSummary!C$16</f>
        <v>0</v>
      </c>
      <c r="I708" s="4">
        <f>PrefetchDBSummary!D$16</f>
        <v>0</v>
      </c>
      <c r="J708" s="5">
        <f t="shared" si="116"/>
        <v>0</v>
      </c>
      <c r="K708" s="4">
        <f t="shared" si="117"/>
        <v>0</v>
      </c>
      <c r="L708" s="4">
        <f t="shared" si="118"/>
        <v>0</v>
      </c>
      <c r="M708" s="5">
        <f t="shared" si="119"/>
        <v>0</v>
      </c>
      <c r="N708" s="17">
        <f t="shared" si="114"/>
        <v>0</v>
      </c>
      <c r="O708" s="32">
        <f t="shared" si="115"/>
        <v>0</v>
      </c>
      <c r="AG708" t="s">
        <v>1214</v>
      </c>
      <c r="AH708" t="s">
        <v>583</v>
      </c>
      <c r="AI708">
        <v>1</v>
      </c>
      <c r="AJ708">
        <v>8</v>
      </c>
      <c r="AK708">
        <v>9</v>
      </c>
      <c r="AL708">
        <v>1</v>
      </c>
      <c r="AM708">
        <v>1445</v>
      </c>
      <c r="AN708">
        <v>1484</v>
      </c>
      <c r="AO708">
        <v>1432</v>
      </c>
      <c r="AQ708" s="27">
        <f t="shared" si="120"/>
        <v>1029.8000000000002</v>
      </c>
    </row>
    <row r="709" spans="1:43" ht="12.75">
      <c r="A709" s="59" t="s">
        <v>1177</v>
      </c>
      <c r="B709" s="7" t="s">
        <v>1267</v>
      </c>
      <c r="C709" t="s">
        <v>1188</v>
      </c>
      <c r="D709" s="57">
        <v>1</v>
      </c>
      <c r="E709" s="18" t="s">
        <v>1302</v>
      </c>
      <c r="F709" s="19"/>
      <c r="G709" s="4">
        <f>IF(F709&gt;0,F709,IF(PrefetchDBSummary!$C$10="B",AJ709,8))</f>
        <v>8</v>
      </c>
      <c r="H709" s="4">
        <f>PrefetchDBSummary!C$16</f>
        <v>0</v>
      </c>
      <c r="I709" s="4">
        <f>PrefetchDBSummary!D$16</f>
        <v>0</v>
      </c>
      <c r="J709" s="5">
        <f t="shared" si="116"/>
        <v>0</v>
      </c>
      <c r="K709" s="4">
        <f t="shared" si="117"/>
        <v>0</v>
      </c>
      <c r="L709" s="4">
        <f t="shared" si="118"/>
        <v>0</v>
      </c>
      <c r="M709" s="5">
        <f t="shared" si="119"/>
        <v>0</v>
      </c>
      <c r="N709" s="17">
        <f t="shared" si="114"/>
        <v>0</v>
      </c>
      <c r="O709" s="32">
        <f t="shared" si="115"/>
        <v>0</v>
      </c>
      <c r="AG709" t="s">
        <v>1215</v>
      </c>
      <c r="AH709" t="s">
        <v>583</v>
      </c>
      <c r="AI709">
        <v>1</v>
      </c>
      <c r="AJ709">
        <v>8</v>
      </c>
      <c r="AK709">
        <v>16</v>
      </c>
      <c r="AL709">
        <v>13</v>
      </c>
      <c r="AM709">
        <v>328</v>
      </c>
      <c r="AN709">
        <v>847</v>
      </c>
      <c r="AO709">
        <v>232</v>
      </c>
      <c r="AQ709" s="27">
        <f t="shared" si="120"/>
        <v>765.8</v>
      </c>
    </row>
    <row r="710" spans="1:43" ht="12.75">
      <c r="A710" s="59" t="s">
        <v>1177</v>
      </c>
      <c r="B710" s="7" t="s">
        <v>1267</v>
      </c>
      <c r="C710" t="s">
        <v>1189</v>
      </c>
      <c r="D710" s="57">
        <v>1</v>
      </c>
      <c r="E710" s="18" t="s">
        <v>1302</v>
      </c>
      <c r="F710" s="19"/>
      <c r="G710" s="4">
        <f>IF(F710&gt;0,F710,IF(PrefetchDBSummary!$C$10="B",AJ710,8))</f>
        <v>8</v>
      </c>
      <c r="H710" s="4">
        <f>PrefetchDBSummary!C$16</f>
        <v>0</v>
      </c>
      <c r="I710" s="4">
        <f>PrefetchDBSummary!D$16</f>
        <v>0</v>
      </c>
      <c r="J710" s="5">
        <f t="shared" si="116"/>
        <v>0</v>
      </c>
      <c r="K710" s="4">
        <f t="shared" si="117"/>
        <v>0</v>
      </c>
      <c r="L710" s="4">
        <f t="shared" si="118"/>
        <v>0</v>
      </c>
      <c r="M710" s="5">
        <f t="shared" si="119"/>
        <v>0</v>
      </c>
      <c r="N710" s="17">
        <f t="shared" si="114"/>
        <v>0</v>
      </c>
      <c r="O710" s="32">
        <f t="shared" si="115"/>
        <v>0</v>
      </c>
      <c r="AG710" t="s">
        <v>1216</v>
      </c>
      <c r="AH710" t="s">
        <v>583</v>
      </c>
      <c r="AI710">
        <v>1</v>
      </c>
      <c r="AJ710">
        <v>8</v>
      </c>
      <c r="AK710">
        <v>3</v>
      </c>
      <c r="AL710">
        <v>0</v>
      </c>
      <c r="AM710">
        <v>435</v>
      </c>
      <c r="AN710">
        <v>435</v>
      </c>
      <c r="AO710">
        <v>432</v>
      </c>
      <c r="AQ710" s="27">
        <f t="shared" si="120"/>
        <v>505.8</v>
      </c>
    </row>
    <row r="711" spans="1:43" ht="12.75">
      <c r="A711" s="59" t="s">
        <v>1177</v>
      </c>
      <c r="B711" s="7" t="s">
        <v>1267</v>
      </c>
      <c r="C711" t="s">
        <v>1190</v>
      </c>
      <c r="D711" s="57">
        <v>0</v>
      </c>
      <c r="E711" s="18" t="s">
        <v>1303</v>
      </c>
      <c r="F711" s="19"/>
      <c r="G711" s="4">
        <f>IF(F711&gt;0,F711,IF(PrefetchDBSummary!$C$10="B",AJ711,8))</f>
        <v>8</v>
      </c>
      <c r="H711" s="4">
        <f>PrefetchDBSummary!C$16</f>
        <v>0</v>
      </c>
      <c r="I711" s="4">
        <f>PrefetchDBSummary!D$16</f>
        <v>0</v>
      </c>
      <c r="J711" s="5">
        <f t="shared" si="116"/>
        <v>0</v>
      </c>
      <c r="K711" s="4">
        <f t="shared" si="117"/>
        <v>0</v>
      </c>
      <c r="L711" s="4">
        <f t="shared" si="118"/>
        <v>0</v>
      </c>
      <c r="M711" s="5">
        <f t="shared" si="119"/>
        <v>0</v>
      </c>
      <c r="N711" s="17">
        <f t="shared" si="114"/>
        <v>0</v>
      </c>
      <c r="O711" s="32">
        <f t="shared" si="115"/>
        <v>0</v>
      </c>
      <c r="AG711" t="s">
        <v>1217</v>
      </c>
      <c r="AH711" t="s">
        <v>583</v>
      </c>
      <c r="AI711">
        <v>1</v>
      </c>
      <c r="AJ711">
        <v>8</v>
      </c>
      <c r="AK711">
        <v>9</v>
      </c>
      <c r="AL711">
        <v>6</v>
      </c>
      <c r="AM711">
        <v>281</v>
      </c>
      <c r="AN711">
        <v>515</v>
      </c>
      <c r="AO711">
        <v>232</v>
      </c>
      <c r="AQ711" s="27">
        <f t="shared" si="120"/>
        <v>421</v>
      </c>
    </row>
    <row r="712" spans="1:43" ht="12.75">
      <c r="A712" s="59" t="s">
        <v>1177</v>
      </c>
      <c r="B712" s="7" t="s">
        <v>1267</v>
      </c>
      <c r="C712" t="s">
        <v>1191</v>
      </c>
      <c r="D712" s="57">
        <v>0</v>
      </c>
      <c r="E712" s="18" t="s">
        <v>1303</v>
      </c>
      <c r="F712" s="19"/>
      <c r="G712" s="4">
        <f>IF(F712&gt;0,F712,IF(PrefetchDBSummary!$C$10="B",AJ712,8))</f>
        <v>8</v>
      </c>
      <c r="H712" s="4">
        <f>PrefetchDBSummary!C$16</f>
        <v>0</v>
      </c>
      <c r="I712" s="4">
        <f>PrefetchDBSummary!D$16</f>
        <v>0</v>
      </c>
      <c r="J712" s="5">
        <f t="shared" si="116"/>
        <v>0</v>
      </c>
      <c r="K712" s="4">
        <f t="shared" si="117"/>
        <v>0</v>
      </c>
      <c r="L712" s="4">
        <f t="shared" si="118"/>
        <v>0</v>
      </c>
      <c r="M712" s="5">
        <f t="shared" si="119"/>
        <v>0</v>
      </c>
      <c r="N712" s="17">
        <f t="shared" si="114"/>
        <v>0</v>
      </c>
      <c r="O712" s="32">
        <f t="shared" si="115"/>
        <v>0</v>
      </c>
      <c r="AG712" t="s">
        <v>1218</v>
      </c>
      <c r="AH712" t="s">
        <v>583</v>
      </c>
      <c r="AI712">
        <v>1</v>
      </c>
      <c r="AJ712">
        <v>8</v>
      </c>
      <c r="AK712">
        <v>16</v>
      </c>
      <c r="AL712">
        <v>13</v>
      </c>
      <c r="AM712">
        <v>328</v>
      </c>
      <c r="AN712">
        <v>847</v>
      </c>
      <c r="AO712">
        <v>232</v>
      </c>
      <c r="AQ712" s="27">
        <f t="shared" si="120"/>
        <v>554</v>
      </c>
    </row>
    <row r="713" spans="1:43" ht="12.75">
      <c r="A713" s="59" t="s">
        <v>1177</v>
      </c>
      <c r="B713" s="7" t="s">
        <v>1267</v>
      </c>
      <c r="C713" t="s">
        <v>1192</v>
      </c>
      <c r="D713" s="57">
        <v>0</v>
      </c>
      <c r="E713" s="18" t="s">
        <v>1303</v>
      </c>
      <c r="F713" s="19"/>
      <c r="G713" s="4">
        <f>IF(F713&gt;0,F713,IF(PrefetchDBSummary!$C$10="B",AJ713,8))</f>
        <v>8</v>
      </c>
      <c r="H713" s="4">
        <f>PrefetchDBSummary!C$16</f>
        <v>0</v>
      </c>
      <c r="I713" s="4">
        <f>PrefetchDBSummary!D$16</f>
        <v>0</v>
      </c>
      <c r="J713" s="5">
        <f t="shared" si="116"/>
        <v>0</v>
      </c>
      <c r="K713" s="4">
        <f t="shared" si="117"/>
        <v>0</v>
      </c>
      <c r="L713" s="4">
        <f t="shared" si="118"/>
        <v>0</v>
      </c>
      <c r="M713" s="5">
        <f t="shared" si="119"/>
        <v>0</v>
      </c>
      <c r="N713" s="17">
        <f t="shared" si="114"/>
        <v>0</v>
      </c>
      <c r="O713" s="32">
        <f t="shared" si="115"/>
        <v>0</v>
      </c>
      <c r="AG713" t="s">
        <v>1219</v>
      </c>
      <c r="AH713" t="s">
        <v>583</v>
      </c>
      <c r="AI713">
        <v>1</v>
      </c>
      <c r="AJ713">
        <v>8</v>
      </c>
      <c r="AK713">
        <v>5</v>
      </c>
      <c r="AL713">
        <v>1</v>
      </c>
      <c r="AM713">
        <v>641</v>
      </c>
      <c r="AN713">
        <v>680</v>
      </c>
      <c r="AO713">
        <v>632</v>
      </c>
      <c r="AQ713" s="27">
        <f t="shared" si="120"/>
        <v>345</v>
      </c>
    </row>
    <row r="714" spans="1:43" ht="12.75">
      <c r="A714" s="59" t="s">
        <v>1177</v>
      </c>
      <c r="B714" s="7" t="s">
        <v>1267</v>
      </c>
      <c r="C714" t="s">
        <v>1193</v>
      </c>
      <c r="D714" s="57">
        <v>1</v>
      </c>
      <c r="E714" s="18" t="s">
        <v>1304</v>
      </c>
      <c r="F714" s="19"/>
      <c r="G714" s="4">
        <f>IF(F714&gt;0,F714,IF(PrefetchDBSummary!$C$10="B",AJ714,8))</f>
        <v>8</v>
      </c>
      <c r="H714" s="4">
        <f>PrefetchDBSummary!C$16</f>
        <v>0</v>
      </c>
      <c r="I714" s="4">
        <f>PrefetchDBSummary!D$16</f>
        <v>0</v>
      </c>
      <c r="J714" s="5">
        <f t="shared" si="116"/>
        <v>0</v>
      </c>
      <c r="K714" s="4">
        <f t="shared" si="117"/>
        <v>0</v>
      </c>
      <c r="L714" s="4">
        <f t="shared" si="118"/>
        <v>0</v>
      </c>
      <c r="M714" s="5">
        <f t="shared" si="119"/>
        <v>0</v>
      </c>
      <c r="N714" s="17">
        <f t="shared" si="114"/>
        <v>0</v>
      </c>
      <c r="O714" s="32">
        <f t="shared" si="115"/>
        <v>0</v>
      </c>
      <c r="AG714" t="s">
        <v>1220</v>
      </c>
      <c r="AH714" t="s">
        <v>582</v>
      </c>
      <c r="AI714">
        <v>1</v>
      </c>
      <c r="AJ714">
        <v>32</v>
      </c>
      <c r="AK714">
        <v>8</v>
      </c>
      <c r="AL714">
        <v>7</v>
      </c>
      <c r="AM714">
        <v>68</v>
      </c>
      <c r="AN714">
        <v>341</v>
      </c>
      <c r="AO714">
        <v>32</v>
      </c>
      <c r="AQ714" s="27">
        <f t="shared" si="120"/>
        <v>473.8</v>
      </c>
    </row>
    <row r="715" spans="1:43" ht="12.75">
      <c r="A715" s="59" t="s">
        <v>1177</v>
      </c>
      <c r="B715" s="7" t="s">
        <v>1267</v>
      </c>
      <c r="C715" t="s">
        <v>1194</v>
      </c>
      <c r="D715" s="57">
        <v>3</v>
      </c>
      <c r="E715" s="18" t="s">
        <v>1305</v>
      </c>
      <c r="F715" s="19"/>
      <c r="G715" s="4">
        <f>IF(F715&gt;0,F715,IF(PrefetchDBSummary!$C$10="B",AJ715,8))</f>
        <v>8</v>
      </c>
      <c r="H715" s="4">
        <f>PrefetchDBSummary!C$16</f>
        <v>0</v>
      </c>
      <c r="I715" s="4">
        <f>PrefetchDBSummary!D$16</f>
        <v>0</v>
      </c>
      <c r="J715" s="5">
        <f t="shared" si="116"/>
        <v>0</v>
      </c>
      <c r="K715" s="4">
        <f t="shared" si="117"/>
        <v>0</v>
      </c>
      <c r="L715" s="4">
        <f t="shared" si="118"/>
        <v>0</v>
      </c>
      <c r="M715" s="5">
        <f t="shared" si="119"/>
        <v>0</v>
      </c>
      <c r="N715" s="17">
        <f t="shared" si="114"/>
        <v>0</v>
      </c>
      <c r="O715" s="32">
        <f t="shared" si="115"/>
        <v>0</v>
      </c>
      <c r="AG715" t="s">
        <v>1221</v>
      </c>
      <c r="AH715" t="s">
        <v>583</v>
      </c>
      <c r="AI715">
        <v>1</v>
      </c>
      <c r="AJ715">
        <v>8</v>
      </c>
      <c r="AK715">
        <v>7</v>
      </c>
      <c r="AL715">
        <v>2</v>
      </c>
      <c r="AM715">
        <v>859</v>
      </c>
      <c r="AN715">
        <v>949</v>
      </c>
      <c r="AO715">
        <v>832</v>
      </c>
      <c r="AQ715" s="27">
        <f t="shared" si="120"/>
        <v>1531.4</v>
      </c>
    </row>
    <row r="716" spans="1:43" ht="12.75">
      <c r="A716" s="59" t="s">
        <v>1177</v>
      </c>
      <c r="B716" s="7" t="s">
        <v>1267</v>
      </c>
      <c r="C716" t="s">
        <v>1742</v>
      </c>
      <c r="D716" s="57">
        <v>1</v>
      </c>
      <c r="E716" s="18"/>
      <c r="F716" s="19"/>
      <c r="G716" s="4">
        <f>IF(F716&gt;0,F716,IF(PrefetchDBSummary!$C$10="B",AJ716,8))</f>
        <v>8</v>
      </c>
      <c r="H716" s="4">
        <f>PrefetchDBSummary!C$16</f>
        <v>0</v>
      </c>
      <c r="I716" s="4">
        <f>PrefetchDBSummary!D$16</f>
        <v>0</v>
      </c>
      <c r="J716" s="5">
        <f t="shared" si="116"/>
        <v>0</v>
      </c>
      <c r="K716" s="4">
        <f t="shared" si="117"/>
        <v>0</v>
      </c>
      <c r="L716" s="4">
        <f t="shared" si="118"/>
        <v>0</v>
      </c>
      <c r="M716" s="5">
        <f t="shared" si="119"/>
        <v>0</v>
      </c>
      <c r="N716" s="17">
        <f t="shared" si="114"/>
        <v>0</v>
      </c>
      <c r="O716" s="32">
        <f t="shared" si="115"/>
        <v>0</v>
      </c>
      <c r="AG716" t="s">
        <v>1745</v>
      </c>
      <c r="AH716" t="s">
        <v>583</v>
      </c>
      <c r="AI716">
        <v>1</v>
      </c>
      <c r="AJ716">
        <v>15</v>
      </c>
      <c r="AK716">
        <v>19</v>
      </c>
      <c r="AL716">
        <v>6</v>
      </c>
      <c r="AM716">
        <v>2296</v>
      </c>
      <c r="AN716">
        <v>2546</v>
      </c>
      <c r="AO716">
        <v>2232</v>
      </c>
      <c r="AQ716" s="27">
        <f t="shared" si="120"/>
        <v>1590.8000000000002</v>
      </c>
    </row>
    <row r="717" spans="1:43" ht="12.75">
      <c r="A717" s="59" t="s">
        <v>1177</v>
      </c>
      <c r="B717" s="7" t="s">
        <v>1267</v>
      </c>
      <c r="C717" t="s">
        <v>1195</v>
      </c>
      <c r="D717" s="57">
        <v>1</v>
      </c>
      <c r="E717" s="18" t="s">
        <v>1304</v>
      </c>
      <c r="F717" s="19"/>
      <c r="G717" s="4">
        <f>IF(F717&gt;0,F717,IF(PrefetchDBSummary!$C$10="B",AJ717,8))</f>
        <v>8</v>
      </c>
      <c r="H717" s="4">
        <f>PrefetchDBSummary!C$16</f>
        <v>0</v>
      </c>
      <c r="I717" s="4">
        <f>PrefetchDBSummary!D$16</f>
        <v>0</v>
      </c>
      <c r="J717" s="5">
        <f t="shared" si="116"/>
        <v>0</v>
      </c>
      <c r="K717" s="4">
        <f t="shared" si="117"/>
        <v>0</v>
      </c>
      <c r="L717" s="4">
        <f t="shared" si="118"/>
        <v>0</v>
      </c>
      <c r="M717" s="5">
        <f t="shared" si="119"/>
        <v>0</v>
      </c>
      <c r="N717" s="17">
        <f t="shared" si="114"/>
        <v>0</v>
      </c>
      <c r="O717" s="32">
        <f t="shared" si="115"/>
        <v>0</v>
      </c>
      <c r="AG717" t="s">
        <v>1222</v>
      </c>
      <c r="AH717" t="s">
        <v>582</v>
      </c>
      <c r="AI717">
        <v>1</v>
      </c>
      <c r="AJ717">
        <v>32</v>
      </c>
      <c r="AK717">
        <v>9</v>
      </c>
      <c r="AL717">
        <v>7</v>
      </c>
      <c r="AM717">
        <v>85</v>
      </c>
      <c r="AN717">
        <v>358</v>
      </c>
      <c r="AO717">
        <v>32</v>
      </c>
      <c r="AQ717" s="27">
        <f t="shared" si="120"/>
        <v>509.8</v>
      </c>
    </row>
    <row r="718" spans="1:43" ht="12.75">
      <c r="A718" s="59" t="s">
        <v>1177</v>
      </c>
      <c r="B718" s="7" t="s">
        <v>1267</v>
      </c>
      <c r="C718" t="s">
        <v>1196</v>
      </c>
      <c r="D718" s="57">
        <v>0</v>
      </c>
      <c r="E718" s="18" t="s">
        <v>1306</v>
      </c>
      <c r="F718" s="19"/>
      <c r="G718" s="4">
        <f>IF(F718&gt;0,F718,IF(PrefetchDBSummary!$C$10="B",AJ718,8))</f>
        <v>8</v>
      </c>
      <c r="H718" s="4">
        <f>PrefetchDBSummary!C$16</f>
        <v>0</v>
      </c>
      <c r="I718" s="4">
        <f>PrefetchDBSummary!D$16</f>
        <v>0</v>
      </c>
      <c r="J718" s="5">
        <f t="shared" si="116"/>
        <v>0</v>
      </c>
      <c r="K718" s="4">
        <f t="shared" si="117"/>
        <v>0</v>
      </c>
      <c r="L718" s="4">
        <f t="shared" si="118"/>
        <v>0</v>
      </c>
      <c r="M718" s="5">
        <f t="shared" si="119"/>
        <v>0</v>
      </c>
      <c r="N718" s="17">
        <f t="shared" si="114"/>
        <v>0</v>
      </c>
      <c r="O718" s="32">
        <f t="shared" si="115"/>
        <v>0</v>
      </c>
      <c r="AG718" t="s">
        <v>1223</v>
      </c>
      <c r="AH718" t="s">
        <v>582</v>
      </c>
      <c r="AI718">
        <v>1</v>
      </c>
      <c r="AJ718">
        <v>8</v>
      </c>
      <c r="AK718">
        <v>5</v>
      </c>
      <c r="AL718">
        <v>0</v>
      </c>
      <c r="AM718">
        <v>353</v>
      </c>
      <c r="AN718">
        <v>353</v>
      </c>
      <c r="AO718">
        <v>332</v>
      </c>
      <c r="AQ718" s="27">
        <f t="shared" si="120"/>
        <v>345</v>
      </c>
    </row>
    <row r="719" spans="1:43" ht="12.75">
      <c r="A719" s="59" t="s">
        <v>1177</v>
      </c>
      <c r="B719" s="7" t="s">
        <v>1267</v>
      </c>
      <c r="C719" t="s">
        <v>1743</v>
      </c>
      <c r="D719" s="57">
        <v>1</v>
      </c>
      <c r="E719" s="18"/>
      <c r="F719" s="19"/>
      <c r="G719" s="4">
        <f>IF(F719&gt;0,F719,IF(PrefetchDBSummary!$C$10="B",AJ719,8))</f>
        <v>8</v>
      </c>
      <c r="H719" s="4">
        <f>PrefetchDBSummary!C$16</f>
        <v>0</v>
      </c>
      <c r="I719" s="4">
        <f>PrefetchDBSummary!D$16</f>
        <v>0</v>
      </c>
      <c r="J719" s="5">
        <f t="shared" si="116"/>
        <v>0</v>
      </c>
      <c r="K719" s="4">
        <f t="shared" si="117"/>
        <v>0</v>
      </c>
      <c r="L719" s="4">
        <f t="shared" si="118"/>
        <v>0</v>
      </c>
      <c r="M719" s="5">
        <f t="shared" si="119"/>
        <v>0</v>
      </c>
      <c r="N719" s="17">
        <f t="shared" si="114"/>
        <v>0</v>
      </c>
      <c r="O719" s="32">
        <f t="shared" si="115"/>
        <v>0</v>
      </c>
      <c r="AG719" t="s">
        <v>1746</v>
      </c>
      <c r="AH719" t="s">
        <v>582</v>
      </c>
      <c r="AI719">
        <v>60</v>
      </c>
      <c r="AJ719">
        <v>8</v>
      </c>
      <c r="AK719">
        <v>3</v>
      </c>
      <c r="AL719">
        <v>0</v>
      </c>
      <c r="AM719">
        <v>195</v>
      </c>
      <c r="AN719">
        <v>195</v>
      </c>
      <c r="AO719">
        <v>192</v>
      </c>
      <c r="AQ719" s="27">
        <f t="shared" si="120"/>
        <v>409.8</v>
      </c>
    </row>
    <row r="720" spans="1:43" ht="12.75">
      <c r="A720" s="59" t="s">
        <v>1177</v>
      </c>
      <c r="B720" s="7" t="s">
        <v>1267</v>
      </c>
      <c r="C720" t="s">
        <v>1197</v>
      </c>
      <c r="D720" s="57">
        <v>1</v>
      </c>
      <c r="E720" s="18" t="s">
        <v>1304</v>
      </c>
      <c r="F720" s="19"/>
      <c r="G720" s="4">
        <f>IF(F720&gt;0,F720,IF(PrefetchDBSummary!$C$10="B",AJ720,8))</f>
        <v>8</v>
      </c>
      <c r="H720" s="4">
        <f>PrefetchDBSummary!C$16</f>
        <v>0</v>
      </c>
      <c r="I720" s="4">
        <f>PrefetchDBSummary!D$16</f>
        <v>0</v>
      </c>
      <c r="J720" s="5">
        <f t="shared" si="116"/>
        <v>0</v>
      </c>
      <c r="K720" s="4">
        <f t="shared" si="117"/>
        <v>0</v>
      </c>
      <c r="L720" s="4">
        <f t="shared" si="118"/>
        <v>0</v>
      </c>
      <c r="M720" s="5">
        <f t="shared" si="119"/>
        <v>0</v>
      </c>
      <c r="N720" s="17">
        <f t="shared" si="114"/>
        <v>0</v>
      </c>
      <c r="O720" s="32">
        <f t="shared" si="115"/>
        <v>0</v>
      </c>
      <c r="AG720" t="s">
        <v>1224</v>
      </c>
      <c r="AH720" t="s">
        <v>582</v>
      </c>
      <c r="AI720">
        <v>1</v>
      </c>
      <c r="AJ720">
        <v>32</v>
      </c>
      <c r="AK720">
        <v>2</v>
      </c>
      <c r="AL720">
        <v>1</v>
      </c>
      <c r="AM720">
        <v>38</v>
      </c>
      <c r="AN720">
        <v>77</v>
      </c>
      <c r="AO720">
        <v>32</v>
      </c>
      <c r="AQ720" s="27">
        <f t="shared" si="120"/>
        <v>329.8</v>
      </c>
    </row>
    <row r="721" spans="1:43" ht="12.75">
      <c r="A721" s="59" t="s">
        <v>1177</v>
      </c>
      <c r="B721" s="7" t="s">
        <v>1267</v>
      </c>
      <c r="C721" t="s">
        <v>1198</v>
      </c>
      <c r="D721" s="57">
        <v>1</v>
      </c>
      <c r="E721" s="18" t="s">
        <v>1304</v>
      </c>
      <c r="F721" s="19"/>
      <c r="G721" s="4">
        <f>IF(F721&gt;0,F721,IF(PrefetchDBSummary!$C$10="B",AJ721,8))</f>
        <v>8</v>
      </c>
      <c r="H721" s="4">
        <f>PrefetchDBSummary!C$16</f>
        <v>0</v>
      </c>
      <c r="I721" s="4">
        <f>PrefetchDBSummary!D$16</f>
        <v>0</v>
      </c>
      <c r="J721" s="5">
        <f t="shared" si="116"/>
        <v>0</v>
      </c>
      <c r="K721" s="4">
        <f t="shared" si="117"/>
        <v>0</v>
      </c>
      <c r="L721" s="4">
        <f t="shared" si="118"/>
        <v>0</v>
      </c>
      <c r="M721" s="5">
        <f t="shared" si="119"/>
        <v>0</v>
      </c>
      <c r="N721" s="17">
        <f t="shared" si="114"/>
        <v>0</v>
      </c>
      <c r="O721" s="32">
        <f t="shared" si="115"/>
        <v>0</v>
      </c>
      <c r="AG721" t="s">
        <v>1225</v>
      </c>
      <c r="AH721" t="s">
        <v>582</v>
      </c>
      <c r="AI721">
        <v>1</v>
      </c>
      <c r="AJ721">
        <v>32</v>
      </c>
      <c r="AK721">
        <v>2</v>
      </c>
      <c r="AL721">
        <v>1</v>
      </c>
      <c r="AM721">
        <v>38</v>
      </c>
      <c r="AN721">
        <v>77</v>
      </c>
      <c r="AO721">
        <v>32</v>
      </c>
      <c r="AQ721" s="27">
        <f t="shared" si="120"/>
        <v>329.8</v>
      </c>
    </row>
    <row r="722" spans="1:43" ht="12.75">
      <c r="A722" s="59" t="s">
        <v>1177</v>
      </c>
      <c r="B722" s="7" t="s">
        <v>1267</v>
      </c>
      <c r="C722" t="s">
        <v>1199</v>
      </c>
      <c r="D722" s="57">
        <v>14</v>
      </c>
      <c r="E722" s="18" t="s">
        <v>1307</v>
      </c>
      <c r="F722" s="19"/>
      <c r="G722" s="4">
        <f>IF(F722&gt;0,F722,IF(PrefetchDBSummary!$C$10="B",AJ722,8))</f>
        <v>8</v>
      </c>
      <c r="H722" s="4">
        <f>PrefetchDBSummary!C$16</f>
        <v>0</v>
      </c>
      <c r="I722" s="4">
        <f>PrefetchDBSummary!D$16</f>
        <v>0</v>
      </c>
      <c r="J722" s="5">
        <f t="shared" si="116"/>
        <v>0</v>
      </c>
      <c r="K722" s="4">
        <f t="shared" si="117"/>
        <v>0</v>
      </c>
      <c r="L722" s="4">
        <f t="shared" si="118"/>
        <v>0</v>
      </c>
      <c r="M722" s="5">
        <f t="shared" si="119"/>
        <v>0</v>
      </c>
      <c r="N722" s="17">
        <f t="shared" si="114"/>
        <v>0</v>
      </c>
      <c r="O722" s="32">
        <f t="shared" si="115"/>
        <v>0</v>
      </c>
      <c r="AG722" t="s">
        <v>1226</v>
      </c>
      <c r="AH722" t="s">
        <v>583</v>
      </c>
      <c r="AI722">
        <v>1</v>
      </c>
      <c r="AJ722">
        <v>15</v>
      </c>
      <c r="AK722">
        <v>6</v>
      </c>
      <c r="AL722">
        <v>0</v>
      </c>
      <c r="AM722">
        <v>842</v>
      </c>
      <c r="AN722">
        <v>842</v>
      </c>
      <c r="AO722">
        <v>832</v>
      </c>
      <c r="AQ722" s="27">
        <f t="shared" si="120"/>
        <v>5485.2</v>
      </c>
    </row>
    <row r="723" spans="1:43" ht="12.75">
      <c r="A723" s="59" t="s">
        <v>1177</v>
      </c>
      <c r="B723" s="7" t="s">
        <v>1267</v>
      </c>
      <c r="C723" t="s">
        <v>1200</v>
      </c>
      <c r="D723" s="57">
        <v>1</v>
      </c>
      <c r="E723" s="18" t="s">
        <v>1308</v>
      </c>
      <c r="F723" s="19"/>
      <c r="G723" s="4">
        <f>IF(F723&gt;0,F723,IF(PrefetchDBSummary!$C$10="B",AJ723,8))</f>
        <v>8</v>
      </c>
      <c r="H723" s="4">
        <f>PrefetchDBSummary!C$16</f>
        <v>0</v>
      </c>
      <c r="I723" s="4">
        <f>PrefetchDBSummary!D$16</f>
        <v>0</v>
      </c>
      <c r="J723" s="5">
        <f t="shared" si="116"/>
        <v>0</v>
      </c>
      <c r="K723" s="4">
        <f t="shared" si="117"/>
        <v>0</v>
      </c>
      <c r="L723" s="4">
        <f t="shared" si="118"/>
        <v>0</v>
      </c>
      <c r="M723" s="5">
        <f t="shared" si="119"/>
        <v>0</v>
      </c>
      <c r="N723" s="17">
        <f t="shared" si="114"/>
        <v>0</v>
      </c>
      <c r="O723" s="32">
        <f t="shared" si="115"/>
        <v>0</v>
      </c>
      <c r="AG723" t="s">
        <v>1227</v>
      </c>
      <c r="AH723" t="s">
        <v>583</v>
      </c>
      <c r="AI723">
        <v>1</v>
      </c>
      <c r="AJ723">
        <v>8</v>
      </c>
      <c r="AK723">
        <v>16</v>
      </c>
      <c r="AL723">
        <v>13</v>
      </c>
      <c r="AM723">
        <v>328</v>
      </c>
      <c r="AN723">
        <v>847</v>
      </c>
      <c r="AO723">
        <v>232</v>
      </c>
      <c r="AQ723" s="27">
        <f t="shared" si="120"/>
        <v>765.8</v>
      </c>
    </row>
    <row r="724" spans="1:43" ht="12.75">
      <c r="A724" s="59" t="s">
        <v>1177</v>
      </c>
      <c r="B724" s="7" t="s">
        <v>1267</v>
      </c>
      <c r="C724" t="s">
        <v>1201</v>
      </c>
      <c r="D724" s="57">
        <v>0</v>
      </c>
      <c r="E724" s="18" t="s">
        <v>1309</v>
      </c>
      <c r="F724" s="19"/>
      <c r="G724" s="4">
        <f>IF(F724&gt;0,F724,IF(PrefetchDBSummary!$C$10="B",AJ724,8))</f>
        <v>8</v>
      </c>
      <c r="H724" s="4">
        <f>PrefetchDBSummary!C$16</f>
        <v>0</v>
      </c>
      <c r="I724" s="4">
        <f>PrefetchDBSummary!D$16</f>
        <v>0</v>
      </c>
      <c r="J724" s="5">
        <f t="shared" si="116"/>
        <v>0</v>
      </c>
      <c r="K724" s="4">
        <f t="shared" si="117"/>
        <v>0</v>
      </c>
      <c r="L724" s="4">
        <f t="shared" si="118"/>
        <v>0</v>
      </c>
      <c r="M724" s="5">
        <f t="shared" si="119"/>
        <v>0</v>
      </c>
      <c r="N724" s="17">
        <f t="shared" si="114"/>
        <v>0</v>
      </c>
      <c r="O724" s="32">
        <f t="shared" si="115"/>
        <v>0</v>
      </c>
      <c r="AG724" t="s">
        <v>1228</v>
      </c>
      <c r="AH724" t="s">
        <v>583</v>
      </c>
      <c r="AI724">
        <v>1</v>
      </c>
      <c r="AJ724">
        <v>8</v>
      </c>
      <c r="AK724">
        <v>6</v>
      </c>
      <c r="AL724">
        <v>0</v>
      </c>
      <c r="AM724">
        <v>554</v>
      </c>
      <c r="AN724">
        <v>554</v>
      </c>
      <c r="AO724">
        <v>532</v>
      </c>
      <c r="AQ724" s="27">
        <f t="shared" si="120"/>
        <v>364</v>
      </c>
    </row>
    <row r="725" spans="1:43" ht="12.75">
      <c r="A725" s="59" t="s">
        <v>1177</v>
      </c>
      <c r="B725" s="7" t="s">
        <v>1267</v>
      </c>
      <c r="C725" t="s">
        <v>1744</v>
      </c>
      <c r="D725" s="57">
        <v>1</v>
      </c>
      <c r="E725" s="18" t="s">
        <v>1308</v>
      </c>
      <c r="F725" s="19"/>
      <c r="G725" s="4">
        <f>IF(F725&gt;0,F725,IF(PrefetchDBSummary!$C$10="B",AJ725,8))</f>
        <v>8</v>
      </c>
      <c r="H725" s="4">
        <f>PrefetchDBSummary!C$16</f>
        <v>0</v>
      </c>
      <c r="I725" s="4">
        <f>PrefetchDBSummary!D$16</f>
        <v>0</v>
      </c>
      <c r="J725" s="5">
        <f t="shared" si="116"/>
        <v>0</v>
      </c>
      <c r="K725" s="4">
        <f t="shared" si="117"/>
        <v>0</v>
      </c>
      <c r="L725" s="4">
        <f t="shared" si="118"/>
        <v>0</v>
      </c>
      <c r="M725" s="5">
        <f t="shared" si="119"/>
        <v>0</v>
      </c>
      <c r="N725" s="17">
        <f t="shared" si="114"/>
        <v>0</v>
      </c>
      <c r="O725" s="32">
        <f t="shared" si="115"/>
        <v>0</v>
      </c>
      <c r="AG725" t="s">
        <v>1747</v>
      </c>
      <c r="AH725" t="s">
        <v>583</v>
      </c>
      <c r="AI725">
        <v>1</v>
      </c>
      <c r="AJ725">
        <v>15</v>
      </c>
      <c r="AK725">
        <v>30</v>
      </c>
      <c r="AL725">
        <v>11</v>
      </c>
      <c r="AM725">
        <v>3778</v>
      </c>
      <c r="AN725">
        <v>4279</v>
      </c>
      <c r="AO725">
        <v>3632</v>
      </c>
      <c r="AQ725" s="27">
        <f t="shared" si="120"/>
        <v>2441.8</v>
      </c>
    </row>
    <row r="726" spans="1:43" ht="12.75">
      <c r="A726" s="59" t="s">
        <v>1177</v>
      </c>
      <c r="B726" s="7" t="s">
        <v>1267</v>
      </c>
      <c r="C726" t="s">
        <v>1202</v>
      </c>
      <c r="D726" s="57">
        <v>1</v>
      </c>
      <c r="E726" s="18" t="s">
        <v>1308</v>
      </c>
      <c r="F726" s="19"/>
      <c r="G726" s="4">
        <f>IF(F726&gt;0,F726,IF(PrefetchDBSummary!$C$10="B",AJ726,8))</f>
        <v>8</v>
      </c>
      <c r="H726" s="4">
        <f>PrefetchDBSummary!C$16</f>
        <v>0</v>
      </c>
      <c r="I726" s="4">
        <f>PrefetchDBSummary!D$16</f>
        <v>0</v>
      </c>
      <c r="J726" s="5">
        <f t="shared" si="116"/>
        <v>0</v>
      </c>
      <c r="K726" s="4">
        <f t="shared" si="117"/>
        <v>0</v>
      </c>
      <c r="L726" s="4">
        <f t="shared" si="118"/>
        <v>0</v>
      </c>
      <c r="M726" s="5">
        <f t="shared" si="119"/>
        <v>0</v>
      </c>
      <c r="N726" s="17">
        <f t="shared" si="114"/>
        <v>0</v>
      </c>
      <c r="O726" s="32">
        <f t="shared" si="115"/>
        <v>0</v>
      </c>
      <c r="AG726" t="s">
        <v>1229</v>
      </c>
      <c r="AH726" t="s">
        <v>583</v>
      </c>
      <c r="AI726">
        <v>1</v>
      </c>
      <c r="AJ726">
        <v>32</v>
      </c>
      <c r="AK726">
        <v>9</v>
      </c>
      <c r="AL726">
        <v>6</v>
      </c>
      <c r="AM726">
        <v>281</v>
      </c>
      <c r="AN726">
        <v>515</v>
      </c>
      <c r="AO726">
        <v>232</v>
      </c>
      <c r="AQ726" s="27">
        <f t="shared" si="120"/>
        <v>585.8</v>
      </c>
    </row>
    <row r="727" spans="1:43" ht="12.75">
      <c r="A727" s="59" t="s">
        <v>1177</v>
      </c>
      <c r="B727" s="7" t="s">
        <v>1267</v>
      </c>
      <c r="C727" t="s">
        <v>1203</v>
      </c>
      <c r="D727" s="57"/>
      <c r="E727" s="18"/>
      <c r="F727" s="19"/>
      <c r="G727" s="4">
        <f>IF(F727&gt;0,F727,IF(PrefetchDBSummary!$C$10="B",AJ727,8))</f>
        <v>8</v>
      </c>
      <c r="H727" s="4">
        <f>PrefetchDBSummary!C$16</f>
        <v>0</v>
      </c>
      <c r="I727" s="4">
        <f>PrefetchDBSummary!D$16</f>
        <v>0</v>
      </c>
      <c r="J727" s="5">
        <f t="shared" si="116"/>
        <v>0</v>
      </c>
      <c r="K727" s="4">
        <f t="shared" si="117"/>
        <v>0</v>
      </c>
      <c r="L727" s="4">
        <f t="shared" si="118"/>
        <v>0</v>
      </c>
      <c r="M727" s="5">
        <f t="shared" si="119"/>
        <v>0</v>
      </c>
      <c r="N727" s="17">
        <f t="shared" si="114"/>
        <v>0</v>
      </c>
      <c r="O727" s="32">
        <f t="shared" si="115"/>
        <v>0</v>
      </c>
      <c r="AG727" t="s">
        <v>1230</v>
      </c>
      <c r="AH727" t="s">
        <v>583</v>
      </c>
      <c r="AI727">
        <v>1</v>
      </c>
      <c r="AJ727">
        <v>32</v>
      </c>
      <c r="AK727">
        <v>8</v>
      </c>
      <c r="AL727">
        <v>2</v>
      </c>
      <c r="AM727">
        <v>1048</v>
      </c>
      <c r="AN727">
        <v>1126</v>
      </c>
      <c r="AO727">
        <v>1032</v>
      </c>
      <c r="AQ727" s="27">
        <f t="shared" si="120"/>
        <v>402</v>
      </c>
    </row>
    <row r="728" spans="1:43" ht="12.75">
      <c r="A728" s="59" t="s">
        <v>1177</v>
      </c>
      <c r="B728" s="7" t="s">
        <v>1267</v>
      </c>
      <c r="C728" t="s">
        <v>1383</v>
      </c>
      <c r="D728" s="57">
        <v>1</v>
      </c>
      <c r="E728" s="18" t="s">
        <v>1304</v>
      </c>
      <c r="F728" s="19"/>
      <c r="G728" s="4">
        <f>IF(F728&gt;0,F728,IF(PrefetchDBSummary!$C$10="B",AJ728,8))</f>
        <v>8</v>
      </c>
      <c r="H728" s="4">
        <f>PrefetchDBSummary!C$16</f>
        <v>0</v>
      </c>
      <c r="I728" s="4">
        <f>PrefetchDBSummary!D$16</f>
        <v>0</v>
      </c>
      <c r="J728" s="5">
        <f t="shared" si="116"/>
        <v>0</v>
      </c>
      <c r="K728" s="4">
        <f t="shared" si="117"/>
        <v>0</v>
      </c>
      <c r="L728" s="4">
        <f t="shared" si="118"/>
        <v>0</v>
      </c>
      <c r="M728" s="5">
        <f t="shared" si="119"/>
        <v>0</v>
      </c>
      <c r="N728" s="17">
        <f t="shared" si="114"/>
        <v>0</v>
      </c>
      <c r="O728" s="32">
        <f t="shared" si="115"/>
        <v>0</v>
      </c>
      <c r="AG728" t="s">
        <v>1385</v>
      </c>
      <c r="AH728" t="s">
        <v>583</v>
      </c>
      <c r="AI728">
        <v>1</v>
      </c>
      <c r="AJ728">
        <v>8</v>
      </c>
      <c r="AK728">
        <v>7</v>
      </c>
      <c r="AL728">
        <v>0</v>
      </c>
      <c r="AM728">
        <v>655</v>
      </c>
      <c r="AN728">
        <v>655</v>
      </c>
      <c r="AO728">
        <v>632</v>
      </c>
      <c r="AQ728" s="27">
        <f t="shared" si="120"/>
        <v>681.8</v>
      </c>
    </row>
    <row r="729" spans="1:43" ht="12.75">
      <c r="A729" s="59" t="s">
        <v>1177</v>
      </c>
      <c r="B729" s="7" t="s">
        <v>1267</v>
      </c>
      <c r="C729" t="s">
        <v>1204</v>
      </c>
      <c r="D729" s="57">
        <v>1</v>
      </c>
      <c r="E729" s="18" t="s">
        <v>1304</v>
      </c>
      <c r="F729" s="19"/>
      <c r="G729" s="4">
        <f>IF(F729&gt;0,F729,IF(PrefetchDBSummary!$C$10="B",AJ729,8))</f>
        <v>8</v>
      </c>
      <c r="H729" s="4">
        <f>PrefetchDBSummary!C$16</f>
        <v>0</v>
      </c>
      <c r="I729" s="4">
        <f>PrefetchDBSummary!D$16</f>
        <v>0</v>
      </c>
      <c r="J729" s="5">
        <f t="shared" si="116"/>
        <v>0</v>
      </c>
      <c r="K729" s="4">
        <f t="shared" si="117"/>
        <v>0</v>
      </c>
      <c r="L729" s="4">
        <f t="shared" si="118"/>
        <v>0</v>
      </c>
      <c r="M729" s="5">
        <f t="shared" si="119"/>
        <v>0</v>
      </c>
      <c r="N729" s="17">
        <f t="shared" si="114"/>
        <v>0</v>
      </c>
      <c r="O729" s="32">
        <f t="shared" si="115"/>
        <v>0</v>
      </c>
      <c r="AG729" t="s">
        <v>1231</v>
      </c>
      <c r="AH729" t="s">
        <v>582</v>
      </c>
      <c r="AI729">
        <v>8</v>
      </c>
      <c r="AJ729">
        <v>8</v>
      </c>
      <c r="AK729">
        <v>2</v>
      </c>
      <c r="AL729">
        <v>1</v>
      </c>
      <c r="AM729">
        <v>38</v>
      </c>
      <c r="AN729">
        <v>77</v>
      </c>
      <c r="AO729">
        <v>32</v>
      </c>
      <c r="AQ729" s="27">
        <f t="shared" si="120"/>
        <v>329.8</v>
      </c>
    </row>
    <row r="730" spans="1:43" ht="12.75">
      <c r="A730" s="1" t="s">
        <v>569</v>
      </c>
      <c r="B730" s="7" t="s">
        <v>2039</v>
      </c>
      <c r="C730" t="s">
        <v>533</v>
      </c>
      <c r="D730" s="19">
        <f>CEILING(PrefetchDBSummary!$E$66/10,3)</f>
        <v>21</v>
      </c>
      <c r="E730" s="7" t="s">
        <v>849</v>
      </c>
      <c r="F730" s="19"/>
      <c r="G730" s="4">
        <f>IF(F730&gt;0,F730,IF(PrefetchDBSummary!$C$10="B",AJ730,8))</f>
        <v>8</v>
      </c>
      <c r="H730" s="4">
        <f>PrefetchDBSummary!$C$66</f>
        <v>0</v>
      </c>
      <c r="I730" s="4">
        <f>PrefetchDBSummary!$D$66</f>
        <v>0</v>
      </c>
      <c r="J730" s="5">
        <f t="shared" si="116"/>
        <v>0</v>
      </c>
      <c r="K730" s="4">
        <f t="shared" si="117"/>
        <v>0</v>
      </c>
      <c r="L730" s="4">
        <f t="shared" si="118"/>
        <v>0</v>
      </c>
      <c r="M730" s="5">
        <f t="shared" si="119"/>
        <v>0</v>
      </c>
      <c r="N730" s="17">
        <f t="shared" si="114"/>
        <v>0</v>
      </c>
      <c r="O730" s="32">
        <f t="shared" si="115"/>
        <v>0</v>
      </c>
      <c r="AG730" t="s">
        <v>534</v>
      </c>
      <c r="AH730" t="s">
        <v>583</v>
      </c>
      <c r="AI730">
        <v>8</v>
      </c>
      <c r="AJ730">
        <v>8</v>
      </c>
      <c r="AK730">
        <v>13</v>
      </c>
      <c r="AL730">
        <v>4</v>
      </c>
      <c r="AM730">
        <v>659</v>
      </c>
      <c r="AN730">
        <v>827</v>
      </c>
      <c r="AO730">
        <v>614</v>
      </c>
      <c r="AQ730" s="27">
        <f t="shared" si="120"/>
        <v>7082.6</v>
      </c>
    </row>
    <row r="731" spans="1:43" ht="12.75">
      <c r="A731" s="1" t="s">
        <v>569</v>
      </c>
      <c r="B731" s="7" t="s">
        <v>2039</v>
      </c>
      <c r="C731" t="s">
        <v>1232</v>
      </c>
      <c r="D731" s="19">
        <f>D736</f>
        <v>6</v>
      </c>
      <c r="E731" s="12" t="s">
        <v>1281</v>
      </c>
      <c r="F731" s="19"/>
      <c r="G731" s="4">
        <f>IF(F731&gt;0,F731,IF(PrefetchDBSummary!$C$10="B",AJ731,8))</f>
        <v>8</v>
      </c>
      <c r="H731" s="4">
        <f>PrefetchDBSummary!$C$66</f>
        <v>0</v>
      </c>
      <c r="I731" s="4">
        <f>PrefetchDBSummary!$D$66</f>
        <v>0</v>
      </c>
      <c r="J731" s="5">
        <f t="shared" si="116"/>
        <v>0</v>
      </c>
      <c r="K731" s="4">
        <f t="shared" si="117"/>
        <v>0</v>
      </c>
      <c r="L731" s="4">
        <f t="shared" si="118"/>
        <v>0</v>
      </c>
      <c r="M731" s="5">
        <f t="shared" si="119"/>
        <v>0</v>
      </c>
      <c r="N731" s="17">
        <f t="shared" si="114"/>
        <v>0</v>
      </c>
      <c r="O731" s="32">
        <f t="shared" si="115"/>
        <v>0</v>
      </c>
      <c r="AG731" t="s">
        <v>1237</v>
      </c>
      <c r="AH731" t="s">
        <v>583</v>
      </c>
      <c r="AI731">
        <v>8</v>
      </c>
      <c r="AJ731">
        <v>8</v>
      </c>
      <c r="AK731">
        <v>10</v>
      </c>
      <c r="AL731">
        <v>4</v>
      </c>
      <c r="AM731">
        <v>458</v>
      </c>
      <c r="AN731">
        <v>614</v>
      </c>
      <c r="AO731">
        <v>432</v>
      </c>
      <c r="AQ731" s="27">
        <f t="shared" si="120"/>
        <v>1770.8000000000002</v>
      </c>
    </row>
    <row r="732" spans="1:43" ht="12.75">
      <c r="A732" s="1" t="s">
        <v>569</v>
      </c>
      <c r="B732" s="7" t="s">
        <v>2039</v>
      </c>
      <c r="C732" t="s">
        <v>535</v>
      </c>
      <c r="D732" s="4">
        <f>PrefetchDBSummary!$E$66</f>
        <v>200</v>
      </c>
      <c r="E732" s="7" t="s">
        <v>848</v>
      </c>
      <c r="F732" s="19"/>
      <c r="G732" s="4">
        <f>IF(F732&gt;0,F732,IF(PrefetchDBSummary!$C$10="B",AJ732,8))</f>
        <v>8</v>
      </c>
      <c r="H732" s="4">
        <f>PrefetchDBSummary!$C$66</f>
        <v>0</v>
      </c>
      <c r="I732" s="4">
        <f>PrefetchDBSummary!$D$66</f>
        <v>0</v>
      </c>
      <c r="J732" s="5">
        <f t="shared" si="116"/>
        <v>0</v>
      </c>
      <c r="K732" s="4">
        <f t="shared" si="117"/>
        <v>0</v>
      </c>
      <c r="L732" s="4">
        <f t="shared" si="118"/>
        <v>0</v>
      </c>
      <c r="M732" s="5">
        <f t="shared" si="119"/>
        <v>0</v>
      </c>
      <c r="N732" s="17">
        <f t="shared" si="114"/>
        <v>0</v>
      </c>
      <c r="O732" s="32">
        <f t="shared" si="115"/>
        <v>0</v>
      </c>
      <c r="AG732" t="s">
        <v>536</v>
      </c>
      <c r="AH732" t="s">
        <v>583</v>
      </c>
      <c r="AI732">
        <v>5</v>
      </c>
      <c r="AJ732">
        <v>8</v>
      </c>
      <c r="AK732">
        <v>10</v>
      </c>
      <c r="AL732">
        <v>2</v>
      </c>
      <c r="AM732">
        <v>600</v>
      </c>
      <c r="AN732">
        <v>678</v>
      </c>
      <c r="AO732">
        <v>582</v>
      </c>
      <c r="AQ732" s="27">
        <f t="shared" si="120"/>
        <v>55200</v>
      </c>
    </row>
    <row r="733" spans="1:43" ht="12.75">
      <c r="A733" s="1" t="s">
        <v>569</v>
      </c>
      <c r="B733" s="7" t="s">
        <v>2039</v>
      </c>
      <c r="C733" t="s">
        <v>537</v>
      </c>
      <c r="D733" s="19">
        <v>1</v>
      </c>
      <c r="E733" s="7" t="s">
        <v>1285</v>
      </c>
      <c r="F733" s="19"/>
      <c r="G733" s="4">
        <f>IF(F733&gt;0,F733,IF(PrefetchDBSummary!$C$10="B",AJ733,8))</f>
        <v>8</v>
      </c>
      <c r="H733" s="4">
        <f>PrefetchDBSummary!$C$66</f>
        <v>0</v>
      </c>
      <c r="I733" s="4">
        <f>PrefetchDBSummary!$D$66</f>
        <v>0</v>
      </c>
      <c r="J733" s="5">
        <f t="shared" si="116"/>
        <v>0</v>
      </c>
      <c r="K733" s="4">
        <f t="shared" si="117"/>
        <v>0</v>
      </c>
      <c r="L733" s="4">
        <f t="shared" si="118"/>
        <v>0</v>
      </c>
      <c r="M733" s="5">
        <f t="shared" si="119"/>
        <v>0</v>
      </c>
      <c r="N733" s="17">
        <f t="shared" si="114"/>
        <v>0</v>
      </c>
      <c r="O733" s="32">
        <f t="shared" si="115"/>
        <v>0</v>
      </c>
      <c r="AG733" t="s">
        <v>538</v>
      </c>
      <c r="AH733" t="s">
        <v>583</v>
      </c>
      <c r="AI733">
        <v>8</v>
      </c>
      <c r="AJ733">
        <v>8</v>
      </c>
      <c r="AK733">
        <v>18</v>
      </c>
      <c r="AL733">
        <v>9</v>
      </c>
      <c r="AM733">
        <v>596</v>
      </c>
      <c r="AN733">
        <v>983</v>
      </c>
      <c r="AO733">
        <v>482</v>
      </c>
      <c r="AQ733" s="27">
        <f t="shared" si="120"/>
        <v>921.8</v>
      </c>
    </row>
    <row r="734" spans="1:43" ht="12.75">
      <c r="A734" s="1" t="s">
        <v>569</v>
      </c>
      <c r="B734" s="7" t="s">
        <v>2039</v>
      </c>
      <c r="C734" t="s">
        <v>539</v>
      </c>
      <c r="D734" s="19">
        <v>1</v>
      </c>
      <c r="E734" s="7" t="s">
        <v>841</v>
      </c>
      <c r="F734" s="19"/>
      <c r="G734" s="4">
        <f>IF(F734&gt;0,F734,IF(PrefetchDBSummary!$C$10="B",AJ734,8))</f>
        <v>8</v>
      </c>
      <c r="H734" s="4">
        <f>PrefetchDBSummary!$C$66</f>
        <v>0</v>
      </c>
      <c r="I734" s="4">
        <f>PrefetchDBSummary!$D$66</f>
        <v>0</v>
      </c>
      <c r="J734" s="5">
        <f t="shared" si="116"/>
        <v>0</v>
      </c>
      <c r="K734" s="4">
        <f t="shared" si="117"/>
        <v>0</v>
      </c>
      <c r="L734" s="4">
        <f t="shared" si="118"/>
        <v>0</v>
      </c>
      <c r="M734" s="5">
        <f t="shared" si="119"/>
        <v>0</v>
      </c>
      <c r="N734" s="17">
        <f t="shared" si="114"/>
        <v>0</v>
      </c>
      <c r="O734" s="32">
        <f t="shared" si="115"/>
        <v>0</v>
      </c>
      <c r="AG734" t="s">
        <v>540</v>
      </c>
      <c r="AH734" t="s">
        <v>583</v>
      </c>
      <c r="AI734">
        <v>30</v>
      </c>
      <c r="AJ734">
        <v>8</v>
      </c>
      <c r="AK734">
        <v>3</v>
      </c>
      <c r="AL734">
        <v>0</v>
      </c>
      <c r="AM734">
        <v>235</v>
      </c>
      <c r="AN734">
        <v>235</v>
      </c>
      <c r="AO734">
        <v>232</v>
      </c>
      <c r="AQ734" s="27">
        <f t="shared" si="120"/>
        <v>425.8</v>
      </c>
    </row>
    <row r="735" spans="1:43" ht="12.75">
      <c r="A735" s="1" t="s">
        <v>569</v>
      </c>
      <c r="B735" s="7" t="s">
        <v>2039</v>
      </c>
      <c r="C735" t="s">
        <v>541</v>
      </c>
      <c r="D735" s="19">
        <f>CEILING(PrefetchDBSummary!$E$66/10,3)</f>
        <v>21</v>
      </c>
      <c r="E735" s="7" t="s">
        <v>842</v>
      </c>
      <c r="F735" s="19"/>
      <c r="G735" s="4">
        <f>IF(F735&gt;0,F735,IF(PrefetchDBSummary!$C$10="B",AJ735,8))</f>
        <v>8</v>
      </c>
      <c r="H735" s="4">
        <f>PrefetchDBSummary!$C$66</f>
        <v>0</v>
      </c>
      <c r="I735" s="4">
        <f>PrefetchDBSummary!$D$66</f>
        <v>0</v>
      </c>
      <c r="J735" s="5">
        <f t="shared" si="116"/>
        <v>0</v>
      </c>
      <c r="K735" s="4">
        <f t="shared" si="117"/>
        <v>0</v>
      </c>
      <c r="L735" s="4">
        <f t="shared" si="118"/>
        <v>0</v>
      </c>
      <c r="M735" s="5">
        <f t="shared" si="119"/>
        <v>0</v>
      </c>
      <c r="N735" s="17">
        <f t="shared" si="114"/>
        <v>0</v>
      </c>
      <c r="O735" s="32">
        <f t="shared" si="115"/>
        <v>0</v>
      </c>
      <c r="AG735" t="s">
        <v>542</v>
      </c>
      <c r="AH735" t="s">
        <v>583</v>
      </c>
      <c r="AI735">
        <v>5</v>
      </c>
      <c r="AJ735">
        <v>8</v>
      </c>
      <c r="AK735">
        <v>18</v>
      </c>
      <c r="AL735">
        <v>10</v>
      </c>
      <c r="AM735">
        <v>578</v>
      </c>
      <c r="AN735">
        <v>1004</v>
      </c>
      <c r="AO735">
        <v>464</v>
      </c>
      <c r="AQ735" s="27">
        <f t="shared" si="120"/>
        <v>7366.6</v>
      </c>
    </row>
    <row r="736" spans="1:43" ht="12.75">
      <c r="A736" s="1" t="s">
        <v>569</v>
      </c>
      <c r="B736" s="7" t="s">
        <v>2039</v>
      </c>
      <c r="C736" t="s">
        <v>543</v>
      </c>
      <c r="D736" s="19">
        <f>CEILING($D$743/50,3)</f>
        <v>6</v>
      </c>
      <c r="E736" s="7" t="s">
        <v>843</v>
      </c>
      <c r="F736" s="19"/>
      <c r="G736" s="4">
        <f>IF(F736&gt;0,F736,IF(PrefetchDBSummary!$C$10="B",AJ736,8))</f>
        <v>8</v>
      </c>
      <c r="H736" s="4">
        <f>PrefetchDBSummary!$C$66</f>
        <v>0</v>
      </c>
      <c r="I736" s="4">
        <f>PrefetchDBSummary!$D$66</f>
        <v>0</v>
      </c>
      <c r="J736" s="5">
        <f t="shared" si="116"/>
        <v>0</v>
      </c>
      <c r="K736" s="4">
        <f t="shared" si="117"/>
        <v>0</v>
      </c>
      <c r="L736" s="4">
        <f t="shared" si="118"/>
        <v>0</v>
      </c>
      <c r="M736" s="5">
        <f t="shared" si="119"/>
        <v>0</v>
      </c>
      <c r="N736" s="17">
        <f t="shared" si="114"/>
        <v>0</v>
      </c>
      <c r="O736" s="32">
        <f t="shared" si="115"/>
        <v>0</v>
      </c>
      <c r="AG736" t="s">
        <v>544</v>
      </c>
      <c r="AH736" t="s">
        <v>583</v>
      </c>
      <c r="AI736">
        <v>5</v>
      </c>
      <c r="AJ736">
        <v>14</v>
      </c>
      <c r="AK736">
        <v>21</v>
      </c>
      <c r="AL736">
        <v>8</v>
      </c>
      <c r="AM736">
        <v>1053</v>
      </c>
      <c r="AN736">
        <v>1377</v>
      </c>
      <c r="AO736">
        <v>968</v>
      </c>
      <c r="AQ736" s="27">
        <f t="shared" si="120"/>
        <v>3620.2000000000003</v>
      </c>
    </row>
    <row r="737" spans="1:43" ht="12.75">
      <c r="A737" s="1" t="s">
        <v>569</v>
      </c>
      <c r="B737" s="7" t="s">
        <v>2039</v>
      </c>
      <c r="C737" t="s">
        <v>545</v>
      </c>
      <c r="D737" s="19">
        <f>CEILING($D$743/50,3)</f>
        <v>6</v>
      </c>
      <c r="E737" s="7" t="s">
        <v>845</v>
      </c>
      <c r="F737" s="19"/>
      <c r="G737" s="4">
        <f>IF(F737&gt;0,F737,IF(PrefetchDBSummary!$C$10="B",AJ737,8))</f>
        <v>8</v>
      </c>
      <c r="H737" s="4">
        <f>PrefetchDBSummary!$C$66</f>
        <v>0</v>
      </c>
      <c r="I737" s="4">
        <f>PrefetchDBSummary!$D$66</f>
        <v>0</v>
      </c>
      <c r="J737" s="5">
        <f t="shared" si="116"/>
        <v>0</v>
      </c>
      <c r="K737" s="4">
        <f t="shared" si="117"/>
        <v>0</v>
      </c>
      <c r="L737" s="4">
        <f t="shared" si="118"/>
        <v>0</v>
      </c>
      <c r="M737" s="5">
        <f t="shared" si="119"/>
        <v>0</v>
      </c>
      <c r="N737" s="17">
        <f t="shared" si="114"/>
        <v>0</v>
      </c>
      <c r="O737" s="32">
        <f t="shared" si="115"/>
        <v>0</v>
      </c>
      <c r="AG737" t="s">
        <v>546</v>
      </c>
      <c r="AH737" t="s">
        <v>583</v>
      </c>
      <c r="AI737">
        <v>5</v>
      </c>
      <c r="AJ737">
        <v>14</v>
      </c>
      <c r="AK737">
        <v>12</v>
      </c>
      <c r="AL737">
        <v>4</v>
      </c>
      <c r="AM737">
        <v>642</v>
      </c>
      <c r="AN737">
        <v>798</v>
      </c>
      <c r="AO737">
        <v>614</v>
      </c>
      <c r="AQ737" s="27">
        <f t="shared" si="120"/>
        <v>2257.6000000000004</v>
      </c>
    </row>
    <row r="738" spans="1:43" ht="12.75">
      <c r="A738" s="1" t="s">
        <v>569</v>
      </c>
      <c r="B738" s="7" t="s">
        <v>2039</v>
      </c>
      <c r="C738" t="s">
        <v>689</v>
      </c>
      <c r="D738" s="19">
        <f>CEILING($D$743/50,3)</f>
        <v>6</v>
      </c>
      <c r="E738" s="7" t="s">
        <v>843</v>
      </c>
      <c r="F738" s="19"/>
      <c r="G738" s="4">
        <f>IF(F738&gt;0,F738,IF(PrefetchDBSummary!$C$10="B",AJ738,8))</f>
        <v>8</v>
      </c>
      <c r="H738" s="4">
        <f>PrefetchDBSummary!$C$66</f>
        <v>0</v>
      </c>
      <c r="I738" s="4">
        <f>PrefetchDBSummary!$D$66</f>
        <v>0</v>
      </c>
      <c r="J738" s="5">
        <f t="shared" si="116"/>
        <v>0</v>
      </c>
      <c r="K738" s="4">
        <f t="shared" si="117"/>
        <v>0</v>
      </c>
      <c r="L738" s="4">
        <f t="shared" si="118"/>
        <v>0</v>
      </c>
      <c r="M738" s="5">
        <f t="shared" si="119"/>
        <v>0</v>
      </c>
      <c r="N738" s="17">
        <f t="shared" si="114"/>
        <v>0</v>
      </c>
      <c r="O738" s="32">
        <f t="shared" si="115"/>
        <v>0</v>
      </c>
      <c r="AG738" t="s">
        <v>690</v>
      </c>
      <c r="AH738" t="s">
        <v>583</v>
      </c>
      <c r="AI738">
        <v>5</v>
      </c>
      <c r="AJ738">
        <v>8</v>
      </c>
      <c r="AK738">
        <v>4</v>
      </c>
      <c r="AL738">
        <v>1</v>
      </c>
      <c r="AM738">
        <v>156</v>
      </c>
      <c r="AN738">
        <v>195</v>
      </c>
      <c r="AO738">
        <v>132</v>
      </c>
      <c r="AQ738" s="27">
        <f t="shared" si="120"/>
        <v>924.8000000000001</v>
      </c>
    </row>
    <row r="739" spans="1:43" ht="12.75">
      <c r="A739" s="1" t="s">
        <v>569</v>
      </c>
      <c r="B739" s="7" t="s">
        <v>2039</v>
      </c>
      <c r="C739" t="s">
        <v>1233</v>
      </c>
      <c r="D739" s="19">
        <f>D738*3</f>
        <v>18</v>
      </c>
      <c r="E739" s="7" t="s">
        <v>1284</v>
      </c>
      <c r="F739" s="19"/>
      <c r="G739" s="4">
        <f>IF(F739&gt;0,F739,IF(PrefetchDBSummary!$C$10="B",AJ739,8))</f>
        <v>8</v>
      </c>
      <c r="H739" s="4">
        <f>PrefetchDBSummary!$C$66</f>
        <v>0</v>
      </c>
      <c r="I739" s="4">
        <f>PrefetchDBSummary!$D$66</f>
        <v>0</v>
      </c>
      <c r="J739" s="5">
        <f t="shared" si="116"/>
        <v>0</v>
      </c>
      <c r="K739" s="4">
        <f t="shared" si="117"/>
        <v>0</v>
      </c>
      <c r="L739" s="4">
        <f t="shared" si="118"/>
        <v>0</v>
      </c>
      <c r="M739" s="5">
        <f t="shared" si="119"/>
        <v>0</v>
      </c>
      <c r="N739" s="17">
        <f t="shared" si="114"/>
        <v>0</v>
      </c>
      <c r="O739" s="32">
        <f t="shared" si="115"/>
        <v>0</v>
      </c>
      <c r="AG739" t="s">
        <v>1238</v>
      </c>
      <c r="AH739" t="s">
        <v>583</v>
      </c>
      <c r="AI739">
        <v>5</v>
      </c>
      <c r="AJ739">
        <v>8</v>
      </c>
      <c r="AK739">
        <v>14</v>
      </c>
      <c r="AL739">
        <v>7</v>
      </c>
      <c r="AM739">
        <v>402</v>
      </c>
      <c r="AN739">
        <v>687</v>
      </c>
      <c r="AO739">
        <v>332</v>
      </c>
      <c r="AQ739" s="27">
        <f t="shared" si="120"/>
        <v>4580.4</v>
      </c>
    </row>
    <row r="740" spans="1:43" ht="12.75">
      <c r="A740" s="1" t="s">
        <v>569</v>
      </c>
      <c r="B740" s="7" t="s">
        <v>2039</v>
      </c>
      <c r="C740" t="s">
        <v>691</v>
      </c>
      <c r="D740" s="4">
        <f>PrefetchDBSummary!$E$66</f>
        <v>200</v>
      </c>
      <c r="E740" s="7" t="s">
        <v>846</v>
      </c>
      <c r="F740" s="19"/>
      <c r="G740" s="4">
        <f>IF(F740&gt;0,F740,IF(PrefetchDBSummary!$C$10="B",AJ740,8))</f>
        <v>8</v>
      </c>
      <c r="H740" s="4">
        <f>PrefetchDBSummary!$C$66</f>
        <v>0</v>
      </c>
      <c r="I740" s="4">
        <f>PrefetchDBSummary!$D$66</f>
        <v>0</v>
      </c>
      <c r="J740" s="5">
        <f t="shared" si="116"/>
        <v>0</v>
      </c>
      <c r="K740" s="4">
        <f t="shared" si="117"/>
        <v>0</v>
      </c>
      <c r="L740" s="4">
        <f t="shared" si="118"/>
        <v>0</v>
      </c>
      <c r="M740" s="5">
        <f t="shared" si="119"/>
        <v>0</v>
      </c>
      <c r="N740" s="17">
        <f t="shared" si="114"/>
        <v>0</v>
      </c>
      <c r="O740" s="32">
        <f t="shared" si="115"/>
        <v>0</v>
      </c>
      <c r="AG740" t="s">
        <v>692</v>
      </c>
      <c r="AH740" t="s">
        <v>583</v>
      </c>
      <c r="AI740">
        <v>5</v>
      </c>
      <c r="AJ740">
        <v>14</v>
      </c>
      <c r="AK740">
        <v>6</v>
      </c>
      <c r="AL740">
        <v>0</v>
      </c>
      <c r="AM740">
        <v>538</v>
      </c>
      <c r="AN740">
        <v>538</v>
      </c>
      <c r="AO740">
        <v>532</v>
      </c>
      <c r="AQ740" s="27">
        <f t="shared" si="120"/>
        <v>48724</v>
      </c>
    </row>
    <row r="741" spans="1:43" ht="12.75">
      <c r="A741" s="1" t="s">
        <v>569</v>
      </c>
      <c r="B741" s="7" t="s">
        <v>2039</v>
      </c>
      <c r="C741" t="s">
        <v>1234</v>
      </c>
      <c r="D741" s="19"/>
      <c r="E741" s="7" t="s">
        <v>1940</v>
      </c>
      <c r="F741" s="19"/>
      <c r="G741" s="4">
        <f>IF(F741&gt;0,F741,IF(PrefetchDBSummary!$C$10="B",AJ741,8))</f>
        <v>8</v>
      </c>
      <c r="H741" s="4">
        <f>PrefetchDBSummary!$C$66</f>
        <v>0</v>
      </c>
      <c r="I741" s="4">
        <f>PrefetchDBSummary!$D$66</f>
        <v>0</v>
      </c>
      <c r="J741" s="5">
        <f t="shared" si="116"/>
        <v>0</v>
      </c>
      <c r="K741" s="4">
        <f t="shared" si="117"/>
        <v>0</v>
      </c>
      <c r="L741" s="4">
        <f t="shared" si="118"/>
        <v>0</v>
      </c>
      <c r="M741" s="5">
        <f t="shared" si="119"/>
        <v>0</v>
      </c>
      <c r="N741" s="17">
        <f t="shared" si="114"/>
        <v>0</v>
      </c>
      <c r="O741" s="32">
        <f t="shared" si="115"/>
        <v>0</v>
      </c>
      <c r="AG741" t="s">
        <v>1239</v>
      </c>
      <c r="AH741" t="s">
        <v>583</v>
      </c>
      <c r="AI741">
        <v>1</v>
      </c>
      <c r="AJ741">
        <v>4</v>
      </c>
      <c r="AK741">
        <v>11</v>
      </c>
      <c r="AL741">
        <v>0</v>
      </c>
      <c r="AM741">
        <v>1081</v>
      </c>
      <c r="AN741">
        <v>1081</v>
      </c>
      <c r="AO741">
        <v>1070</v>
      </c>
      <c r="AQ741" s="27">
        <f t="shared" si="120"/>
        <v>459</v>
      </c>
    </row>
    <row r="742" spans="1:43" ht="12.75">
      <c r="A742" s="1" t="s">
        <v>569</v>
      </c>
      <c r="B742" s="7" t="s">
        <v>2039</v>
      </c>
      <c r="C742" t="s">
        <v>547</v>
      </c>
      <c r="D742" s="19">
        <v>1</v>
      </c>
      <c r="E742" s="7" t="s">
        <v>844</v>
      </c>
      <c r="F742" s="19"/>
      <c r="G742" s="4">
        <f>IF(F742&gt;0,F742,IF(PrefetchDBSummary!$C$10="B",AJ742,8))</f>
        <v>8</v>
      </c>
      <c r="H742" s="4">
        <f>PrefetchDBSummary!$C$66</f>
        <v>0</v>
      </c>
      <c r="I742" s="4">
        <f>PrefetchDBSummary!$D$66</f>
        <v>0</v>
      </c>
      <c r="J742" s="5">
        <f t="shared" si="116"/>
        <v>0</v>
      </c>
      <c r="K742" s="4">
        <f t="shared" si="117"/>
        <v>0</v>
      </c>
      <c r="L742" s="4">
        <f t="shared" si="118"/>
        <v>0</v>
      </c>
      <c r="M742" s="5">
        <f t="shared" si="119"/>
        <v>0</v>
      </c>
      <c r="N742" s="17">
        <f t="shared" si="114"/>
        <v>0</v>
      </c>
      <c r="O742" s="32">
        <f t="shared" si="115"/>
        <v>0</v>
      </c>
      <c r="AG742" t="s">
        <v>548</v>
      </c>
      <c r="AH742" t="s">
        <v>583</v>
      </c>
      <c r="AI742">
        <v>30</v>
      </c>
      <c r="AJ742">
        <v>8</v>
      </c>
      <c r="AK742">
        <v>3</v>
      </c>
      <c r="AL742">
        <v>0</v>
      </c>
      <c r="AM742">
        <v>199</v>
      </c>
      <c r="AN742">
        <v>199</v>
      </c>
      <c r="AO742">
        <v>196</v>
      </c>
      <c r="AQ742" s="27">
        <f t="shared" si="120"/>
        <v>411.4</v>
      </c>
    </row>
    <row r="743" spans="1:43" ht="12.75">
      <c r="A743" s="1" t="s">
        <v>569</v>
      </c>
      <c r="B743" s="7" t="s">
        <v>2039</v>
      </c>
      <c r="C743" t="s">
        <v>551</v>
      </c>
      <c r="D743" s="4">
        <f>PrefetchDBSummary!$E$66</f>
        <v>200</v>
      </c>
      <c r="E743" s="7" t="s">
        <v>847</v>
      </c>
      <c r="F743" s="19"/>
      <c r="G743" s="4">
        <f>IF(F743&gt;0,F743,IF(PrefetchDBSummary!$C$10="B",AJ743,8))</f>
        <v>8</v>
      </c>
      <c r="H743" s="4">
        <f>PrefetchDBSummary!$C$66</f>
        <v>0</v>
      </c>
      <c r="I743" s="4">
        <f>PrefetchDBSummary!$D$66</f>
        <v>0</v>
      </c>
      <c r="J743" s="5">
        <f t="shared" si="116"/>
        <v>0</v>
      </c>
      <c r="K743" s="4">
        <f t="shared" si="117"/>
        <v>0</v>
      </c>
      <c r="L743" s="4">
        <f t="shared" si="118"/>
        <v>0</v>
      </c>
      <c r="M743" s="5">
        <f t="shared" si="119"/>
        <v>0</v>
      </c>
      <c r="N743" s="17">
        <f t="shared" si="114"/>
        <v>0</v>
      </c>
      <c r="O743" s="32">
        <f t="shared" si="115"/>
        <v>0</v>
      </c>
      <c r="AG743" t="s">
        <v>552</v>
      </c>
      <c r="AH743" t="s">
        <v>583</v>
      </c>
      <c r="AI743">
        <v>1</v>
      </c>
      <c r="AJ743">
        <v>8</v>
      </c>
      <c r="AK743">
        <v>25</v>
      </c>
      <c r="AL743">
        <v>9</v>
      </c>
      <c r="AM743">
        <v>1077</v>
      </c>
      <c r="AN743">
        <v>1452</v>
      </c>
      <c r="AO743">
        <v>968</v>
      </c>
      <c r="AQ743" s="27">
        <f t="shared" si="120"/>
        <v>104565.00000000001</v>
      </c>
    </row>
    <row r="744" spans="1:43" ht="12.75">
      <c r="A744" s="1" t="s">
        <v>569</v>
      </c>
      <c r="B744" s="7" t="s">
        <v>2039</v>
      </c>
      <c r="C744" t="s">
        <v>549</v>
      </c>
      <c r="D744" s="4">
        <f>PrefetchDBSummary!$E$66</f>
        <v>200</v>
      </c>
      <c r="E744" s="7" t="s">
        <v>846</v>
      </c>
      <c r="F744" s="19"/>
      <c r="G744" s="4">
        <f>IF(F744&gt;0,F744,IF(PrefetchDBSummary!$C$10="B",AJ744,8))</f>
        <v>8</v>
      </c>
      <c r="H744" s="4">
        <f>PrefetchDBSummary!$C$66</f>
        <v>0</v>
      </c>
      <c r="I744" s="4">
        <f>PrefetchDBSummary!$D$66</f>
        <v>0</v>
      </c>
      <c r="J744" s="5">
        <f t="shared" si="116"/>
        <v>0</v>
      </c>
      <c r="K744" s="4">
        <f t="shared" si="117"/>
        <v>0</v>
      </c>
      <c r="L744" s="4">
        <f t="shared" si="118"/>
        <v>0</v>
      </c>
      <c r="M744" s="5">
        <f t="shared" si="119"/>
        <v>0</v>
      </c>
      <c r="N744" s="17">
        <f t="shared" si="114"/>
        <v>0</v>
      </c>
      <c r="O744" s="32">
        <f t="shared" si="115"/>
        <v>0</v>
      </c>
      <c r="AG744" t="s">
        <v>550</v>
      </c>
      <c r="AH744" t="s">
        <v>583</v>
      </c>
      <c r="AI744">
        <v>5</v>
      </c>
      <c r="AJ744">
        <v>8</v>
      </c>
      <c r="AK744">
        <v>13</v>
      </c>
      <c r="AL744">
        <v>5</v>
      </c>
      <c r="AM744">
        <v>739</v>
      </c>
      <c r="AN744">
        <v>958</v>
      </c>
      <c r="AO744">
        <v>682</v>
      </c>
      <c r="AQ744" s="27">
        <f t="shared" si="120"/>
        <v>71057</v>
      </c>
    </row>
    <row r="745" spans="1:43" ht="12.75">
      <c r="A745" s="1" t="s">
        <v>569</v>
      </c>
      <c r="B745" s="7" t="s">
        <v>2039</v>
      </c>
      <c r="C745" t="s">
        <v>1235</v>
      </c>
      <c r="D745" s="19">
        <f>D746*3</f>
        <v>600</v>
      </c>
      <c r="E745" s="7" t="s">
        <v>1283</v>
      </c>
      <c r="F745" s="19"/>
      <c r="G745" s="4">
        <f>IF(F745&gt;0,F745,IF(PrefetchDBSummary!$C$10="B",AJ745,8))</f>
        <v>8</v>
      </c>
      <c r="H745" s="4">
        <f>PrefetchDBSummary!$C$66</f>
        <v>0</v>
      </c>
      <c r="I745" s="4">
        <f>PrefetchDBSummary!$D$66</f>
        <v>0</v>
      </c>
      <c r="J745" s="5">
        <f t="shared" si="116"/>
        <v>0</v>
      </c>
      <c r="K745" s="4">
        <f t="shared" si="117"/>
        <v>0</v>
      </c>
      <c r="L745" s="4">
        <f t="shared" si="118"/>
        <v>0</v>
      </c>
      <c r="M745" s="5">
        <f t="shared" si="119"/>
        <v>0</v>
      </c>
      <c r="N745" s="17">
        <f t="shared" si="114"/>
        <v>0</v>
      </c>
      <c r="O745" s="32">
        <f t="shared" si="115"/>
        <v>0</v>
      </c>
      <c r="AG745" t="s">
        <v>1240</v>
      </c>
      <c r="AH745" t="s">
        <v>583</v>
      </c>
      <c r="AI745">
        <v>1</v>
      </c>
      <c r="AJ745">
        <v>8</v>
      </c>
      <c r="AK745">
        <v>10</v>
      </c>
      <c r="AL745">
        <v>4</v>
      </c>
      <c r="AM745">
        <v>474</v>
      </c>
      <c r="AN745">
        <v>630</v>
      </c>
      <c r="AO745">
        <v>432</v>
      </c>
      <c r="AQ745" s="27">
        <f t="shared" si="120"/>
        <v>143120</v>
      </c>
    </row>
    <row r="746" spans="1:43" ht="12.75">
      <c r="A746" s="1" t="s">
        <v>569</v>
      </c>
      <c r="B746" s="7" t="s">
        <v>2039</v>
      </c>
      <c r="C746" t="s">
        <v>693</v>
      </c>
      <c r="D746" s="4">
        <f>PrefetchDBSummary!$E$66</f>
        <v>200</v>
      </c>
      <c r="E746" s="7" t="s">
        <v>847</v>
      </c>
      <c r="F746" s="19"/>
      <c r="G746" s="4">
        <f>IF(F746&gt;0,F746,IF(PrefetchDBSummary!$C$10="B",AJ746,8))</f>
        <v>8</v>
      </c>
      <c r="H746" s="4">
        <f>PrefetchDBSummary!$C$66</f>
        <v>0</v>
      </c>
      <c r="I746" s="4">
        <f>PrefetchDBSummary!$D$66</f>
        <v>0</v>
      </c>
      <c r="J746" s="5">
        <f t="shared" si="116"/>
        <v>0</v>
      </c>
      <c r="K746" s="4">
        <f t="shared" si="117"/>
        <v>0</v>
      </c>
      <c r="L746" s="4">
        <f t="shared" si="118"/>
        <v>0</v>
      </c>
      <c r="M746" s="5">
        <f t="shared" si="119"/>
        <v>0</v>
      </c>
      <c r="N746" s="17">
        <f t="shared" si="114"/>
        <v>0</v>
      </c>
      <c r="O746" s="32">
        <f t="shared" si="115"/>
        <v>0</v>
      </c>
      <c r="AG746" t="s">
        <v>694</v>
      </c>
      <c r="AH746" t="s">
        <v>583</v>
      </c>
      <c r="AI746">
        <v>1</v>
      </c>
      <c r="AJ746">
        <v>8</v>
      </c>
      <c r="AK746">
        <v>17</v>
      </c>
      <c r="AL746">
        <v>11</v>
      </c>
      <c r="AM746">
        <v>509</v>
      </c>
      <c r="AN746">
        <v>938</v>
      </c>
      <c r="AO746">
        <v>432</v>
      </c>
      <c r="AQ746" s="27">
        <f t="shared" si="120"/>
        <v>55133</v>
      </c>
    </row>
    <row r="747" spans="1:43" ht="12.75">
      <c r="A747" s="1" t="s">
        <v>569</v>
      </c>
      <c r="B747" s="7" t="s">
        <v>2039</v>
      </c>
      <c r="C747" t="s">
        <v>1236</v>
      </c>
      <c r="D747" s="57">
        <f>D746*2</f>
        <v>400</v>
      </c>
      <c r="E747" s="7" t="s">
        <v>1282</v>
      </c>
      <c r="F747" s="19"/>
      <c r="G747" s="4">
        <f>IF(F747&gt;0,F747,IF(PrefetchDBSummary!$C$10="B",AJ747,8))</f>
        <v>8</v>
      </c>
      <c r="H747" s="4">
        <f>PrefetchDBSummary!$C$66</f>
        <v>0</v>
      </c>
      <c r="I747" s="4">
        <f>PrefetchDBSummary!$D$66</f>
        <v>0</v>
      </c>
      <c r="J747" s="5">
        <f t="shared" si="116"/>
        <v>0</v>
      </c>
      <c r="K747" s="4">
        <f t="shared" si="117"/>
        <v>0</v>
      </c>
      <c r="L747" s="4">
        <f t="shared" si="118"/>
        <v>0</v>
      </c>
      <c r="M747" s="5">
        <f t="shared" si="119"/>
        <v>0</v>
      </c>
      <c r="N747" s="17">
        <f t="shared" si="114"/>
        <v>0</v>
      </c>
      <c r="O747" s="32">
        <f t="shared" si="115"/>
        <v>0</v>
      </c>
      <c r="AG747" t="s">
        <v>1241</v>
      </c>
      <c r="AH747" t="s">
        <v>583</v>
      </c>
      <c r="AI747">
        <v>8</v>
      </c>
      <c r="AJ747">
        <v>8</v>
      </c>
      <c r="AK747">
        <v>14</v>
      </c>
      <c r="AL747">
        <v>4</v>
      </c>
      <c r="AM747">
        <v>878</v>
      </c>
      <c r="AN747">
        <v>1034</v>
      </c>
      <c r="AO747">
        <v>832</v>
      </c>
      <c r="AQ747" s="27">
        <f t="shared" si="120"/>
        <v>161236</v>
      </c>
    </row>
    <row r="748" spans="1:43" ht="12" customHeight="1">
      <c r="A748" s="59" t="s">
        <v>1242</v>
      </c>
      <c r="B748" s="7" t="s">
        <v>2033</v>
      </c>
      <c r="C748" t="s">
        <v>1243</v>
      </c>
      <c r="D748" s="4">
        <f>PrefetchDBSummary!E67</f>
        <v>40</v>
      </c>
      <c r="E748" s="18" t="s">
        <v>1286</v>
      </c>
      <c r="F748" s="19"/>
      <c r="G748" s="4">
        <f>IF(F748&gt;0,F748,IF(PrefetchDBSummary!$C$10="B",AJ748,8))</f>
        <v>8</v>
      </c>
      <c r="H748" s="4">
        <f>PrefetchDBSummary!$C$67</f>
        <v>0</v>
      </c>
      <c r="I748" s="4">
        <f>PrefetchDBSummary!$D$67</f>
        <v>0</v>
      </c>
      <c r="J748" s="5">
        <f t="shared" si="116"/>
        <v>0</v>
      </c>
      <c r="K748" s="4">
        <f t="shared" si="117"/>
        <v>0</v>
      </c>
      <c r="L748" s="4">
        <f t="shared" si="118"/>
        <v>0</v>
      </c>
      <c r="M748" s="5">
        <f t="shared" si="119"/>
        <v>0</v>
      </c>
      <c r="N748" s="17">
        <f t="shared" si="114"/>
        <v>0</v>
      </c>
      <c r="O748" s="32">
        <f t="shared" si="115"/>
        <v>0</v>
      </c>
      <c r="AG748" t="s">
        <v>1253</v>
      </c>
      <c r="AH748" t="s">
        <v>583</v>
      </c>
      <c r="AI748">
        <v>1</v>
      </c>
      <c r="AJ748">
        <v>32</v>
      </c>
      <c r="AK748">
        <v>6</v>
      </c>
      <c r="AL748">
        <v>2</v>
      </c>
      <c r="AM748">
        <v>386</v>
      </c>
      <c r="AN748">
        <v>468</v>
      </c>
      <c r="AO748">
        <v>352</v>
      </c>
      <c r="AQ748" s="27">
        <f t="shared" si="120"/>
        <v>8276</v>
      </c>
    </row>
    <row r="749" spans="1:43" ht="12" customHeight="1">
      <c r="A749" s="59" t="s">
        <v>1242</v>
      </c>
      <c r="B749" s="7" t="s">
        <v>2033</v>
      </c>
      <c r="C749" t="s">
        <v>1854</v>
      </c>
      <c r="D749" s="4">
        <f>PrefetchDBSummary!E67</f>
        <v>40</v>
      </c>
      <c r="E749" s="18" t="s">
        <v>1286</v>
      </c>
      <c r="F749" s="19"/>
      <c r="G749" s="4">
        <f>IF(F749&gt;0,F749,IF(PrefetchDBSummary!$C$10="B",AJ749,8))</f>
        <v>8</v>
      </c>
      <c r="H749" s="4">
        <f>PrefetchDBSummary!$C$67</f>
        <v>0</v>
      </c>
      <c r="I749" s="4">
        <f>PrefetchDBSummary!$D$67</f>
        <v>0</v>
      </c>
      <c r="J749" s="5">
        <f t="shared" si="116"/>
        <v>0</v>
      </c>
      <c r="K749" s="4">
        <f t="shared" si="117"/>
        <v>0</v>
      </c>
      <c r="L749" s="4">
        <f t="shared" si="118"/>
        <v>0</v>
      </c>
      <c r="M749" s="5">
        <f t="shared" si="119"/>
        <v>0</v>
      </c>
      <c r="N749" s="17">
        <f t="shared" si="114"/>
        <v>0</v>
      </c>
      <c r="O749" s="32">
        <f t="shared" si="115"/>
        <v>0</v>
      </c>
      <c r="AG749" t="s">
        <v>1764</v>
      </c>
      <c r="AH749" t="s">
        <v>582</v>
      </c>
      <c r="AI749">
        <v>1</v>
      </c>
      <c r="AJ749">
        <v>8</v>
      </c>
      <c r="AK749">
        <v>2</v>
      </c>
      <c r="AL749">
        <v>1</v>
      </c>
      <c r="AM749">
        <v>38</v>
      </c>
      <c r="AN749">
        <v>77</v>
      </c>
      <c r="AO749">
        <v>32</v>
      </c>
      <c r="AQ749" s="27">
        <f t="shared" si="120"/>
        <v>1960</v>
      </c>
    </row>
    <row r="750" spans="1:43" ht="12.75">
      <c r="A750" s="59" t="s">
        <v>1242</v>
      </c>
      <c r="B750" s="7" t="s">
        <v>2033</v>
      </c>
      <c r="C750" t="s">
        <v>1855</v>
      </c>
      <c r="D750" s="19">
        <v>2</v>
      </c>
      <c r="E750" s="7" t="s">
        <v>1291</v>
      </c>
      <c r="F750" s="19"/>
      <c r="G750" s="4">
        <f>IF(F750&gt;0,F750,IF(PrefetchDBSummary!$C$10="B",AJ750,8))</f>
        <v>8</v>
      </c>
      <c r="H750" s="4">
        <f>PrefetchDBSummary!$C$67</f>
        <v>0</v>
      </c>
      <c r="I750" s="4">
        <f>PrefetchDBSummary!$D$67</f>
        <v>0</v>
      </c>
      <c r="J750" s="5">
        <f t="shared" si="116"/>
        <v>0</v>
      </c>
      <c r="K750" s="4">
        <f t="shared" si="117"/>
        <v>0</v>
      </c>
      <c r="L750" s="4">
        <f t="shared" si="118"/>
        <v>0</v>
      </c>
      <c r="M750" s="5">
        <f t="shared" si="119"/>
        <v>0</v>
      </c>
      <c r="N750" s="17">
        <f t="shared" si="114"/>
        <v>0</v>
      </c>
      <c r="O750" s="32">
        <f t="shared" si="115"/>
        <v>0</v>
      </c>
      <c r="AG750" t="s">
        <v>1765</v>
      </c>
      <c r="AH750" t="s">
        <v>583</v>
      </c>
      <c r="AI750">
        <v>1</v>
      </c>
      <c r="AJ750">
        <v>8</v>
      </c>
      <c r="AK750">
        <v>7</v>
      </c>
      <c r="AL750">
        <v>4</v>
      </c>
      <c r="AM750">
        <v>151</v>
      </c>
      <c r="AN750">
        <v>323</v>
      </c>
      <c r="AO750">
        <v>96</v>
      </c>
      <c r="AQ750" s="27">
        <f t="shared" si="120"/>
        <v>615.8</v>
      </c>
    </row>
    <row r="751" spans="1:43" ht="12.75">
      <c r="A751" s="59" t="s">
        <v>1242</v>
      </c>
      <c r="B751" s="7" t="s">
        <v>2033</v>
      </c>
      <c r="C751" t="s">
        <v>1244</v>
      </c>
      <c r="D751" s="19">
        <v>5</v>
      </c>
      <c r="E751" s="7" t="s">
        <v>1287</v>
      </c>
      <c r="F751" s="19"/>
      <c r="G751" s="4">
        <f>IF(F751&gt;0,F751,IF(PrefetchDBSummary!$C$10="B",AJ751,8))</f>
        <v>8</v>
      </c>
      <c r="H751" s="4">
        <f>PrefetchDBSummary!$C$67</f>
        <v>0</v>
      </c>
      <c r="I751" s="4">
        <f>PrefetchDBSummary!$D$67</f>
        <v>0</v>
      </c>
      <c r="J751" s="5">
        <f t="shared" si="116"/>
        <v>0</v>
      </c>
      <c r="K751" s="4">
        <f t="shared" si="117"/>
        <v>0</v>
      </c>
      <c r="L751" s="4">
        <f t="shared" si="118"/>
        <v>0</v>
      </c>
      <c r="M751" s="5">
        <f t="shared" si="119"/>
        <v>0</v>
      </c>
      <c r="N751" s="17">
        <f>L751*60*24*IF(G751&gt;0,G751,(G751))</f>
        <v>0</v>
      </c>
      <c r="O751" s="32">
        <f>N751*($AM751-$AO751*IF($AP751&gt;0,1-$AP751,1-$AS$2))*(1-$AS$3)/1024/1024</f>
        <v>0</v>
      </c>
      <c r="AG751" t="s">
        <v>1254</v>
      </c>
      <c r="AH751" t="s">
        <v>583</v>
      </c>
      <c r="AI751">
        <v>1</v>
      </c>
      <c r="AJ751">
        <v>32</v>
      </c>
      <c r="AK751">
        <v>9</v>
      </c>
      <c r="AL751">
        <v>6</v>
      </c>
      <c r="AM751">
        <v>145</v>
      </c>
      <c r="AN751">
        <v>379</v>
      </c>
      <c r="AO751">
        <v>96</v>
      </c>
      <c r="AQ751" s="27">
        <f t="shared" si="120"/>
        <v>973</v>
      </c>
    </row>
    <row r="752" spans="1:43" ht="12.75">
      <c r="A752" s="59" t="s">
        <v>1242</v>
      </c>
      <c r="B752" s="7" t="s">
        <v>2033</v>
      </c>
      <c r="C752" t="s">
        <v>1245</v>
      </c>
      <c r="D752" s="19">
        <v>2</v>
      </c>
      <c r="E752" s="18" t="s">
        <v>1288</v>
      </c>
      <c r="F752" s="19"/>
      <c r="G752" s="4">
        <f>IF(F752&gt;0,F752,IF(PrefetchDBSummary!$C$10="B",AJ752,8))</f>
        <v>8</v>
      </c>
      <c r="H752" s="4">
        <f>PrefetchDBSummary!$C$67</f>
        <v>0</v>
      </c>
      <c r="I752" s="4">
        <f>PrefetchDBSummary!$D$67</f>
        <v>0</v>
      </c>
      <c r="J752" s="5">
        <f t="shared" si="116"/>
        <v>0</v>
      </c>
      <c r="K752" s="4">
        <f t="shared" si="117"/>
        <v>0</v>
      </c>
      <c r="L752" s="4">
        <f t="shared" si="118"/>
        <v>0</v>
      </c>
      <c r="M752" s="5">
        <f t="shared" si="119"/>
        <v>0</v>
      </c>
      <c r="N752" s="17">
        <f>L752*60*24*IF(G752&gt;0,G752,(G752))</f>
        <v>0</v>
      </c>
      <c r="O752" s="32">
        <f>N752*($AM752-$AO752*IF($AP752&gt;0,1-$AP752,1-$AS$2))*(1-$AS$3)/1024/1024</f>
        <v>0</v>
      </c>
      <c r="AG752" t="s">
        <v>1255</v>
      </c>
      <c r="AH752" t="s">
        <v>583</v>
      </c>
      <c r="AI752">
        <v>1</v>
      </c>
      <c r="AJ752">
        <v>32</v>
      </c>
      <c r="AK752">
        <v>7</v>
      </c>
      <c r="AL752">
        <v>3</v>
      </c>
      <c r="AM752">
        <v>391</v>
      </c>
      <c r="AN752">
        <v>512</v>
      </c>
      <c r="AO752">
        <v>352</v>
      </c>
      <c r="AQ752" s="27">
        <f t="shared" si="120"/>
        <v>788.6</v>
      </c>
    </row>
    <row r="753" spans="1:43" ht="12.75">
      <c r="A753" s="59" t="s">
        <v>1242</v>
      </c>
      <c r="B753" s="7" t="s">
        <v>2033</v>
      </c>
      <c r="C753" t="s">
        <v>1246</v>
      </c>
      <c r="D753" s="19">
        <v>1</v>
      </c>
      <c r="E753" s="7" t="s">
        <v>1292</v>
      </c>
      <c r="F753" s="19"/>
      <c r="G753" s="4">
        <f>IF(F753&gt;0,F753,IF(PrefetchDBSummary!$C$10="B",AJ753,8))</f>
        <v>8</v>
      </c>
      <c r="H753" s="4">
        <f>PrefetchDBSummary!$C$67</f>
        <v>0</v>
      </c>
      <c r="I753" s="4">
        <f>PrefetchDBSummary!$D$67</f>
        <v>0</v>
      </c>
      <c r="J753" s="5">
        <f t="shared" si="116"/>
        <v>0</v>
      </c>
      <c r="K753" s="4">
        <f t="shared" si="117"/>
        <v>0</v>
      </c>
      <c r="L753" s="4">
        <f t="shared" si="118"/>
        <v>0</v>
      </c>
      <c r="M753" s="5">
        <f t="shared" si="119"/>
        <v>0</v>
      </c>
      <c r="N753" s="17">
        <f>L753*60*24*IF(G753&gt;0,G753,(G753))</f>
        <v>0</v>
      </c>
      <c r="O753" s="32">
        <f>N753*($AM753-$AO753*IF($AP753&gt;0,1-$AP753,1-$AS$2))*(1-$AS$3)/1024/1024</f>
        <v>0</v>
      </c>
      <c r="AG753" t="s">
        <v>1256</v>
      </c>
      <c r="AH753" t="s">
        <v>582</v>
      </c>
      <c r="AI753">
        <v>1</v>
      </c>
      <c r="AJ753">
        <v>8</v>
      </c>
      <c r="AK753">
        <v>9</v>
      </c>
      <c r="AL753">
        <v>4</v>
      </c>
      <c r="AM753">
        <v>269</v>
      </c>
      <c r="AN753">
        <v>429</v>
      </c>
      <c r="AO753">
        <v>224</v>
      </c>
      <c r="AQ753" s="27">
        <f t="shared" si="120"/>
        <v>578.6</v>
      </c>
    </row>
    <row r="754" spans="1:43" ht="12.75">
      <c r="A754" s="59" t="s">
        <v>1242</v>
      </c>
      <c r="B754" s="7" t="s">
        <v>2033</v>
      </c>
      <c r="C754" t="s">
        <v>1247</v>
      </c>
      <c r="D754" s="19">
        <v>1</v>
      </c>
      <c r="E754" s="7" t="s">
        <v>1293</v>
      </c>
      <c r="F754" s="19"/>
      <c r="G754" s="4">
        <f>IF(F754&gt;0,F754,IF(PrefetchDBSummary!$C$10="B",AJ754,8))</f>
        <v>8</v>
      </c>
      <c r="H754" s="4">
        <f>PrefetchDBSummary!$C$67</f>
        <v>0</v>
      </c>
      <c r="I754" s="4">
        <f>PrefetchDBSummary!$D$67</f>
        <v>0</v>
      </c>
      <c r="J754" s="5">
        <f t="shared" si="116"/>
        <v>0</v>
      </c>
      <c r="K754" s="4">
        <f t="shared" si="117"/>
        <v>0</v>
      </c>
      <c r="L754" s="4">
        <f t="shared" si="118"/>
        <v>0</v>
      </c>
      <c r="M754" s="5">
        <f t="shared" si="119"/>
        <v>0</v>
      </c>
      <c r="N754" s="17">
        <f>L754*60*24*IF(G754&gt;0,G754,(G754))</f>
        <v>0</v>
      </c>
      <c r="O754" s="32">
        <f>N754*($AM754-$AO754*IF($AP754&gt;0,1-$AP754,1-$AS$2))*(1-$AS$3)/1024/1024</f>
        <v>0</v>
      </c>
      <c r="AG754" t="s">
        <v>1257</v>
      </c>
      <c r="AH754" t="s">
        <v>582</v>
      </c>
      <c r="AI754">
        <v>1</v>
      </c>
      <c r="AJ754">
        <v>8</v>
      </c>
      <c r="AK754">
        <v>6</v>
      </c>
      <c r="AL754">
        <v>5</v>
      </c>
      <c r="AM754">
        <v>58</v>
      </c>
      <c r="AN754">
        <v>253</v>
      </c>
      <c r="AO754">
        <v>32</v>
      </c>
      <c r="AQ754" s="27">
        <f t="shared" si="120"/>
        <v>425.8</v>
      </c>
    </row>
    <row r="755" spans="1:43" ht="12.75">
      <c r="A755" s="59" t="s">
        <v>1242</v>
      </c>
      <c r="B755" s="7" t="s">
        <v>2033</v>
      </c>
      <c r="C755" t="s">
        <v>1856</v>
      </c>
      <c r="D755" s="19">
        <v>1</v>
      </c>
      <c r="E755" s="7" t="s">
        <v>1857</v>
      </c>
      <c r="F755" s="19"/>
      <c r="G755" s="4">
        <f>IF(F755&gt;0,F755,IF(PrefetchDBSummary!$C$10="B",AJ755,8))</f>
        <v>8</v>
      </c>
      <c r="H755" s="4">
        <f>PrefetchDBSummary!$C$67</f>
        <v>0</v>
      </c>
      <c r="I755" s="4">
        <f>PrefetchDBSummary!$D$67</f>
        <v>0</v>
      </c>
      <c r="J755" s="5">
        <f t="shared" si="116"/>
        <v>0</v>
      </c>
      <c r="K755" s="4">
        <f t="shared" si="117"/>
        <v>0</v>
      </c>
      <c r="L755" s="4">
        <f t="shared" si="118"/>
        <v>0</v>
      </c>
      <c r="M755" s="5">
        <f t="shared" si="119"/>
        <v>0</v>
      </c>
      <c r="N755" s="17">
        <f aca="true" t="shared" si="121" ref="N755:N795">L755*60*24*IF(G755&gt;0,G755,(G755))</f>
        <v>0</v>
      </c>
      <c r="O755" s="32">
        <f aca="true" t="shared" si="122" ref="O755:O795">N755*($AM755-$AO755*IF($AP755&gt;0,1-$AP755,1-$AS$2))*(1-$AS$3)/1024/1024</f>
        <v>0</v>
      </c>
      <c r="AG755" t="s">
        <v>1766</v>
      </c>
      <c r="AH755" t="s">
        <v>582</v>
      </c>
      <c r="AI755">
        <v>1</v>
      </c>
      <c r="AJ755">
        <v>32</v>
      </c>
      <c r="AK755">
        <v>5</v>
      </c>
      <c r="AL755">
        <v>3</v>
      </c>
      <c r="AM755">
        <v>65</v>
      </c>
      <c r="AN755">
        <v>182</v>
      </c>
      <c r="AO755">
        <v>32</v>
      </c>
      <c r="AQ755" s="27">
        <f t="shared" si="120"/>
        <v>413.8</v>
      </c>
    </row>
    <row r="756" spans="1:43" ht="12.75">
      <c r="A756" s="59" t="s">
        <v>1242</v>
      </c>
      <c r="B756" s="7" t="s">
        <v>2033</v>
      </c>
      <c r="C756" t="s">
        <v>1248</v>
      </c>
      <c r="D756" s="19">
        <v>1</v>
      </c>
      <c r="E756" s="7" t="s">
        <v>1294</v>
      </c>
      <c r="F756" s="19"/>
      <c r="G756" s="4">
        <f>IF(F756&gt;0,F756,IF(PrefetchDBSummary!$C$10="B",AJ756,8))</f>
        <v>8</v>
      </c>
      <c r="H756" s="4">
        <f>PrefetchDBSummary!$C$67</f>
        <v>0</v>
      </c>
      <c r="I756" s="4">
        <f>PrefetchDBSummary!$D$67</f>
        <v>0</v>
      </c>
      <c r="J756" s="5">
        <f t="shared" si="116"/>
        <v>0</v>
      </c>
      <c r="K756" s="4">
        <f t="shared" si="117"/>
        <v>0</v>
      </c>
      <c r="L756" s="4">
        <f t="shared" si="118"/>
        <v>0</v>
      </c>
      <c r="M756" s="5">
        <f t="shared" si="119"/>
        <v>0</v>
      </c>
      <c r="N756" s="17">
        <f t="shared" si="121"/>
        <v>0</v>
      </c>
      <c r="O756" s="32">
        <f t="shared" si="122"/>
        <v>0</v>
      </c>
      <c r="AG756" t="s">
        <v>1258</v>
      </c>
      <c r="AH756" t="s">
        <v>582</v>
      </c>
      <c r="AI756">
        <v>1</v>
      </c>
      <c r="AJ756">
        <v>8</v>
      </c>
      <c r="AK756">
        <v>4</v>
      </c>
      <c r="AL756">
        <v>2</v>
      </c>
      <c r="AM756">
        <v>84</v>
      </c>
      <c r="AN756">
        <v>186</v>
      </c>
      <c r="AO756">
        <v>32</v>
      </c>
      <c r="AQ756" s="27">
        <f t="shared" si="120"/>
        <v>413.8</v>
      </c>
    </row>
    <row r="757" spans="1:43" ht="12.75">
      <c r="A757" s="59" t="s">
        <v>1242</v>
      </c>
      <c r="B757" s="7" t="s">
        <v>2033</v>
      </c>
      <c r="C757" t="s">
        <v>1249</v>
      </c>
      <c r="D757" s="19">
        <v>1</v>
      </c>
      <c r="E757" s="7" t="s">
        <v>1295</v>
      </c>
      <c r="F757" s="19"/>
      <c r="G757" s="4">
        <f>IF(F757&gt;0,F757,IF(PrefetchDBSummary!$C$10="B",AJ757,8))</f>
        <v>8</v>
      </c>
      <c r="H757" s="4">
        <f>PrefetchDBSummary!$C$67</f>
        <v>0</v>
      </c>
      <c r="I757" s="4">
        <f>PrefetchDBSummary!$D$67</f>
        <v>0</v>
      </c>
      <c r="J757" s="5">
        <f t="shared" si="116"/>
        <v>0</v>
      </c>
      <c r="K757" s="4">
        <f t="shared" si="117"/>
        <v>0</v>
      </c>
      <c r="L757" s="4">
        <f t="shared" si="118"/>
        <v>0</v>
      </c>
      <c r="M757" s="5">
        <f t="shared" si="119"/>
        <v>0</v>
      </c>
      <c r="N757" s="17">
        <f t="shared" si="121"/>
        <v>0</v>
      </c>
      <c r="O757" s="32">
        <f t="shared" si="122"/>
        <v>0</v>
      </c>
      <c r="AG757" t="s">
        <v>1259</v>
      </c>
      <c r="AH757" t="s">
        <v>582</v>
      </c>
      <c r="AI757">
        <v>1</v>
      </c>
      <c r="AJ757">
        <v>8</v>
      </c>
      <c r="AK757">
        <v>11</v>
      </c>
      <c r="AL757">
        <v>6</v>
      </c>
      <c r="AM757">
        <v>479</v>
      </c>
      <c r="AN757">
        <v>725</v>
      </c>
      <c r="AO757">
        <v>416</v>
      </c>
      <c r="AQ757" s="27">
        <f t="shared" si="120"/>
        <v>711.4</v>
      </c>
    </row>
    <row r="758" spans="1:43" ht="12.75">
      <c r="A758" s="59" t="s">
        <v>1242</v>
      </c>
      <c r="B758" s="7" t="s">
        <v>2033</v>
      </c>
      <c r="C758" t="s">
        <v>1250</v>
      </c>
      <c r="D758" s="4">
        <f>PrefetchDBSummary!E68</f>
        <v>40</v>
      </c>
      <c r="E758" s="18" t="s">
        <v>1289</v>
      </c>
      <c r="F758" s="19"/>
      <c r="G758" s="4">
        <f>IF(F758&gt;0,F758,IF(PrefetchDBSummary!$C$10="B",AJ758,8))</f>
        <v>8</v>
      </c>
      <c r="H758" s="4">
        <f>PrefetchDBSummary!$C$67</f>
        <v>0</v>
      </c>
      <c r="I758" s="4">
        <f>PrefetchDBSummary!$D$67</f>
        <v>0</v>
      </c>
      <c r="J758" s="5">
        <f t="shared" si="116"/>
        <v>0</v>
      </c>
      <c r="K758" s="4">
        <f t="shared" si="117"/>
        <v>0</v>
      </c>
      <c r="L758" s="4">
        <f t="shared" si="118"/>
        <v>0</v>
      </c>
      <c r="M758" s="5">
        <f t="shared" si="119"/>
        <v>0</v>
      </c>
      <c r="N758" s="17">
        <f t="shared" si="121"/>
        <v>0</v>
      </c>
      <c r="O758" s="32">
        <f t="shared" si="122"/>
        <v>0</v>
      </c>
      <c r="AG758" t="s">
        <v>1260</v>
      </c>
      <c r="AH758" t="s">
        <v>583</v>
      </c>
      <c r="AI758">
        <v>1</v>
      </c>
      <c r="AJ758">
        <v>32</v>
      </c>
      <c r="AK758">
        <v>8</v>
      </c>
      <c r="AL758">
        <v>2</v>
      </c>
      <c r="AM758">
        <v>580</v>
      </c>
      <c r="AN758">
        <v>662</v>
      </c>
      <c r="AO758">
        <v>544</v>
      </c>
      <c r="AQ758" s="27">
        <f t="shared" si="120"/>
        <v>11466</v>
      </c>
    </row>
    <row r="759" spans="1:43" ht="12.75">
      <c r="A759" s="59" t="s">
        <v>1242</v>
      </c>
      <c r="B759" s="7" t="s">
        <v>2033</v>
      </c>
      <c r="C759" t="s">
        <v>1251</v>
      </c>
      <c r="D759" s="19">
        <v>1</v>
      </c>
      <c r="E759" s="7" t="s">
        <v>1296</v>
      </c>
      <c r="F759" s="19"/>
      <c r="G759" s="4">
        <f>IF(F759&gt;0,F759,IF(PrefetchDBSummary!$C$10="B",AJ759,8))</f>
        <v>8</v>
      </c>
      <c r="H759" s="4">
        <f>PrefetchDBSummary!$C$67</f>
        <v>0</v>
      </c>
      <c r="I759" s="4">
        <f>PrefetchDBSummary!$D$67</f>
        <v>0</v>
      </c>
      <c r="J759" s="5">
        <f t="shared" si="116"/>
        <v>0</v>
      </c>
      <c r="K759" s="4">
        <f t="shared" si="117"/>
        <v>0</v>
      </c>
      <c r="L759" s="4">
        <f t="shared" si="118"/>
        <v>0</v>
      </c>
      <c r="M759" s="5">
        <f t="shared" si="119"/>
        <v>0</v>
      </c>
      <c r="N759" s="17">
        <f t="shared" si="121"/>
        <v>0</v>
      </c>
      <c r="O759" s="32">
        <f t="shared" si="122"/>
        <v>0</v>
      </c>
      <c r="AG759" t="s">
        <v>1261</v>
      </c>
      <c r="AH759" t="s">
        <v>582</v>
      </c>
      <c r="AI759">
        <v>1</v>
      </c>
      <c r="AJ759">
        <v>8</v>
      </c>
      <c r="AK759">
        <v>7</v>
      </c>
      <c r="AL759">
        <v>4</v>
      </c>
      <c r="AM759">
        <v>139</v>
      </c>
      <c r="AN759">
        <v>299</v>
      </c>
      <c r="AO759">
        <v>96</v>
      </c>
      <c r="AQ759" s="27">
        <f t="shared" si="120"/>
        <v>487.4</v>
      </c>
    </row>
    <row r="760" spans="1:43" ht="12.75">
      <c r="A760" s="59" t="s">
        <v>1242</v>
      </c>
      <c r="B760" s="7" t="s">
        <v>2033</v>
      </c>
      <c r="C760" t="s">
        <v>1252</v>
      </c>
      <c r="D760" s="19">
        <v>10</v>
      </c>
      <c r="E760" s="18" t="s">
        <v>1290</v>
      </c>
      <c r="F760" s="19"/>
      <c r="G760" s="4">
        <f>IF(F760&gt;0,F760,IF(PrefetchDBSummary!$C$10="B",AJ760,8))</f>
        <v>8</v>
      </c>
      <c r="H760" s="4">
        <f>PrefetchDBSummary!$C$67</f>
        <v>0</v>
      </c>
      <c r="I760" s="4">
        <f>PrefetchDBSummary!$D$67</f>
        <v>0</v>
      </c>
      <c r="J760" s="5">
        <f t="shared" si="116"/>
        <v>0</v>
      </c>
      <c r="K760" s="4">
        <f t="shared" si="117"/>
        <v>0</v>
      </c>
      <c r="L760" s="4">
        <f t="shared" si="118"/>
        <v>0</v>
      </c>
      <c r="M760" s="5">
        <f t="shared" si="119"/>
        <v>0</v>
      </c>
      <c r="N760" s="17">
        <f t="shared" si="121"/>
        <v>0</v>
      </c>
      <c r="O760" s="32">
        <f t="shared" si="122"/>
        <v>0</v>
      </c>
      <c r="AG760" t="s">
        <v>1262</v>
      </c>
      <c r="AH760" t="s">
        <v>582</v>
      </c>
      <c r="AI760">
        <v>1</v>
      </c>
      <c r="AJ760">
        <v>32</v>
      </c>
      <c r="AK760">
        <v>6</v>
      </c>
      <c r="AL760">
        <v>3</v>
      </c>
      <c r="AM760">
        <v>134</v>
      </c>
      <c r="AN760">
        <v>255</v>
      </c>
      <c r="AO760">
        <v>96</v>
      </c>
      <c r="AQ760" s="27">
        <f t="shared" si="120"/>
        <v>1358</v>
      </c>
    </row>
    <row r="761" spans="1:43" ht="12.75">
      <c r="A761" s="7" t="s">
        <v>570</v>
      </c>
      <c r="B761" s="7" t="s">
        <v>2040</v>
      </c>
      <c r="C761" t="s">
        <v>144</v>
      </c>
      <c r="D761" s="57">
        <f>D762</f>
        <v>1</v>
      </c>
      <c r="E761" s="7" t="s">
        <v>852</v>
      </c>
      <c r="F761" s="19"/>
      <c r="G761" s="4">
        <f>IF(F761&gt;0,F761,IF(PrefetchDBSummary!$C$10="B",AJ761,8))</f>
        <v>8</v>
      </c>
      <c r="H761" s="4">
        <f>PrefetchDBSummary!$C$69</f>
        <v>0</v>
      </c>
      <c r="I761" s="4">
        <f>PrefetchDBSummary!$D$69</f>
        <v>0</v>
      </c>
      <c r="J761" s="5">
        <f t="shared" si="116"/>
        <v>0</v>
      </c>
      <c r="K761" s="4">
        <f t="shared" si="117"/>
        <v>0</v>
      </c>
      <c r="L761" s="4">
        <f t="shared" si="118"/>
        <v>0</v>
      </c>
      <c r="M761" s="5">
        <f t="shared" si="119"/>
        <v>0</v>
      </c>
      <c r="N761" s="17">
        <f t="shared" si="121"/>
        <v>0</v>
      </c>
      <c r="O761" s="32">
        <f t="shared" si="122"/>
        <v>0</v>
      </c>
      <c r="AG761" t="s">
        <v>145</v>
      </c>
      <c r="AH761" t="s">
        <v>583</v>
      </c>
      <c r="AI761">
        <v>5</v>
      </c>
      <c r="AJ761">
        <v>8</v>
      </c>
      <c r="AK761">
        <v>28</v>
      </c>
      <c r="AL761">
        <v>1</v>
      </c>
      <c r="AM761">
        <v>1152</v>
      </c>
      <c r="AN761">
        <v>1174</v>
      </c>
      <c r="AO761">
        <v>1024</v>
      </c>
      <c r="AP761" s="44"/>
      <c r="AQ761" s="27">
        <f t="shared" si="120"/>
        <v>1342.6</v>
      </c>
    </row>
    <row r="762" spans="1:43" ht="12.75">
      <c r="A762" s="7" t="s">
        <v>570</v>
      </c>
      <c r="B762" s="7" t="s">
        <v>2040</v>
      </c>
      <c r="C762" t="s">
        <v>0</v>
      </c>
      <c r="D762" s="4">
        <f>PrefetchDBSummary!E69</f>
        <v>1</v>
      </c>
      <c r="E762" s="7" t="s">
        <v>815</v>
      </c>
      <c r="F762" s="19"/>
      <c r="G762" s="4">
        <f>IF(F762&gt;0,F762,IF(PrefetchDBSummary!$C$10="B",AJ762,8))</f>
        <v>8</v>
      </c>
      <c r="H762" s="4">
        <f>PrefetchDBSummary!$C$69</f>
        <v>0</v>
      </c>
      <c r="I762" s="4">
        <f>PrefetchDBSummary!$D$69</f>
        <v>0</v>
      </c>
      <c r="J762" s="5">
        <f t="shared" si="116"/>
        <v>0</v>
      </c>
      <c r="K762" s="4">
        <f t="shared" si="117"/>
        <v>0</v>
      </c>
      <c r="L762" s="4">
        <f t="shared" si="118"/>
        <v>0</v>
      </c>
      <c r="M762" s="5">
        <f t="shared" si="119"/>
        <v>0</v>
      </c>
      <c r="N762" s="17">
        <f t="shared" si="121"/>
        <v>0</v>
      </c>
      <c r="O762" s="32">
        <f t="shared" si="122"/>
        <v>0</v>
      </c>
      <c r="AG762" t="s">
        <v>220</v>
      </c>
      <c r="AH762" t="s">
        <v>583</v>
      </c>
      <c r="AI762">
        <v>1</v>
      </c>
      <c r="AJ762">
        <v>32</v>
      </c>
      <c r="AK762">
        <v>19</v>
      </c>
      <c r="AL762">
        <v>4</v>
      </c>
      <c r="AM762">
        <v>867</v>
      </c>
      <c r="AN762">
        <v>1018</v>
      </c>
      <c r="AO762">
        <v>768</v>
      </c>
      <c r="AP762" s="44">
        <v>0.8369140625</v>
      </c>
      <c r="AQ762" s="27">
        <f t="shared" si="120"/>
        <v>858.25</v>
      </c>
    </row>
    <row r="763" spans="1:43" ht="12.75">
      <c r="A763" s="7" t="s">
        <v>570</v>
      </c>
      <c r="B763" s="7" t="s">
        <v>2040</v>
      </c>
      <c r="C763" t="s">
        <v>1</v>
      </c>
      <c r="D763" s="57">
        <f>D$762</f>
        <v>1</v>
      </c>
      <c r="E763" s="7" t="s">
        <v>815</v>
      </c>
      <c r="F763" s="19"/>
      <c r="G763" s="4">
        <f>IF(F763&gt;0,F763,IF(PrefetchDBSummary!$C$10="B",AJ763,8))</f>
        <v>8</v>
      </c>
      <c r="H763" s="4">
        <f>PrefetchDBSummary!$C$69</f>
        <v>0</v>
      </c>
      <c r="I763" s="4">
        <f>PrefetchDBSummary!$D$69</f>
        <v>0</v>
      </c>
      <c r="J763" s="5">
        <f t="shared" si="116"/>
        <v>0</v>
      </c>
      <c r="K763" s="4">
        <f t="shared" si="117"/>
        <v>0</v>
      </c>
      <c r="L763" s="4">
        <f t="shared" si="118"/>
        <v>0</v>
      </c>
      <c r="M763" s="5">
        <f t="shared" si="119"/>
        <v>0</v>
      </c>
      <c r="N763" s="17">
        <f t="shared" si="121"/>
        <v>0</v>
      </c>
      <c r="O763" s="32">
        <f t="shared" si="122"/>
        <v>0</v>
      </c>
      <c r="AG763" t="s">
        <v>221</v>
      </c>
      <c r="AH763" t="s">
        <v>583</v>
      </c>
      <c r="AI763">
        <v>1</v>
      </c>
      <c r="AJ763">
        <v>32</v>
      </c>
      <c r="AK763">
        <v>17</v>
      </c>
      <c r="AL763">
        <v>0</v>
      </c>
      <c r="AM763">
        <v>1101</v>
      </c>
      <c r="AN763">
        <v>1101</v>
      </c>
      <c r="AO763">
        <v>1056</v>
      </c>
      <c r="AP763" s="44">
        <v>0.81494140625</v>
      </c>
      <c r="AQ763" s="27">
        <f t="shared" si="120"/>
        <v>836.421875</v>
      </c>
    </row>
    <row r="764" spans="1:43" ht="12.75">
      <c r="A764" s="7" t="s">
        <v>570</v>
      </c>
      <c r="B764" s="7" t="s">
        <v>2040</v>
      </c>
      <c r="C764" t="s">
        <v>2</v>
      </c>
      <c r="D764" s="57">
        <f>D762</f>
        <v>1</v>
      </c>
      <c r="E764" s="7" t="s">
        <v>850</v>
      </c>
      <c r="F764" s="19"/>
      <c r="G764" s="4">
        <f>IF(F764&gt;0,F764,IF(PrefetchDBSummary!$C$10="B",AJ764,8))</f>
        <v>8</v>
      </c>
      <c r="H764" s="4">
        <f>PrefetchDBSummary!$C$69</f>
        <v>0</v>
      </c>
      <c r="I764" s="4">
        <f>PrefetchDBSummary!$D$69</f>
        <v>0</v>
      </c>
      <c r="J764" s="5">
        <f t="shared" si="116"/>
        <v>0</v>
      </c>
      <c r="K764" s="4">
        <f t="shared" si="117"/>
        <v>0</v>
      </c>
      <c r="L764" s="4">
        <f t="shared" si="118"/>
        <v>0</v>
      </c>
      <c r="M764" s="5">
        <f t="shared" si="119"/>
        <v>0</v>
      </c>
      <c r="N764" s="17">
        <f t="shared" si="121"/>
        <v>0</v>
      </c>
      <c r="O764" s="32">
        <f t="shared" si="122"/>
        <v>0</v>
      </c>
      <c r="AG764" t="s">
        <v>225</v>
      </c>
      <c r="AH764" t="s">
        <v>583</v>
      </c>
      <c r="AI764">
        <v>1</v>
      </c>
      <c r="AJ764">
        <v>8</v>
      </c>
      <c r="AK764">
        <v>8</v>
      </c>
      <c r="AL764">
        <v>5</v>
      </c>
      <c r="AM764">
        <v>195</v>
      </c>
      <c r="AN764">
        <v>363</v>
      </c>
      <c r="AO764">
        <v>128</v>
      </c>
      <c r="AP764" s="44"/>
      <c r="AQ764" s="27">
        <f t="shared" si="120"/>
        <v>543.2</v>
      </c>
    </row>
    <row r="765" spans="1:43" ht="12.75">
      <c r="A765" t="s">
        <v>570</v>
      </c>
      <c r="B765" s="7" t="s">
        <v>2040</v>
      </c>
      <c r="C765" t="s">
        <v>3</v>
      </c>
      <c r="D765" s="57">
        <f>D$762</f>
        <v>1</v>
      </c>
      <c r="E765" s="7" t="s">
        <v>850</v>
      </c>
      <c r="F765" s="19"/>
      <c r="G765" s="4">
        <f>IF(F765&gt;0,F765,IF(PrefetchDBSummary!$C$10="B",AJ765,8))</f>
        <v>8</v>
      </c>
      <c r="H765" s="4">
        <f>PrefetchDBSummary!$C$69</f>
        <v>0</v>
      </c>
      <c r="I765" s="4">
        <f>PrefetchDBSummary!$D$69</f>
        <v>0</v>
      </c>
      <c r="J765" s="5">
        <f t="shared" si="116"/>
        <v>0</v>
      </c>
      <c r="K765" s="4">
        <f t="shared" si="117"/>
        <v>0</v>
      </c>
      <c r="L765" s="4">
        <f t="shared" si="118"/>
        <v>0</v>
      </c>
      <c r="M765" s="5">
        <f t="shared" si="119"/>
        <v>0</v>
      </c>
      <c r="N765" s="17">
        <f t="shared" si="121"/>
        <v>0</v>
      </c>
      <c r="O765" s="32">
        <f t="shared" si="122"/>
        <v>0</v>
      </c>
      <c r="AG765" t="s">
        <v>237</v>
      </c>
      <c r="AH765" t="s">
        <v>583</v>
      </c>
      <c r="AI765">
        <v>1</v>
      </c>
      <c r="AJ765">
        <v>8</v>
      </c>
      <c r="AK765">
        <v>30</v>
      </c>
      <c r="AL765">
        <v>28</v>
      </c>
      <c r="AM765">
        <v>371</v>
      </c>
      <c r="AN765">
        <v>1140</v>
      </c>
      <c r="AO765">
        <v>128</v>
      </c>
      <c r="AP765" s="44">
        <v>0.2578125</v>
      </c>
      <c r="AQ765" s="27">
        <f t="shared" si="120"/>
        <v>1181</v>
      </c>
    </row>
    <row r="766" spans="1:43" ht="12.75">
      <c r="A766" s="7" t="s">
        <v>570</v>
      </c>
      <c r="B766" s="7" t="s">
        <v>2040</v>
      </c>
      <c r="C766" t="s">
        <v>4</v>
      </c>
      <c r="D766" s="57">
        <v>6</v>
      </c>
      <c r="E766" s="7" t="s">
        <v>855</v>
      </c>
      <c r="F766" s="19"/>
      <c r="G766" s="4">
        <f>IF(F766&gt;0,F766,IF(PrefetchDBSummary!$C$10="B",AJ766,8))</f>
        <v>8</v>
      </c>
      <c r="H766" s="4">
        <f>PrefetchDBSummary!$C$69</f>
        <v>0</v>
      </c>
      <c r="I766" s="4">
        <f>PrefetchDBSummary!$D$69</f>
        <v>0</v>
      </c>
      <c r="J766" s="5">
        <f t="shared" si="116"/>
        <v>0</v>
      </c>
      <c r="K766" s="4">
        <f t="shared" si="117"/>
        <v>0</v>
      </c>
      <c r="L766" s="4">
        <f t="shared" si="118"/>
        <v>0</v>
      </c>
      <c r="M766" s="5">
        <f t="shared" si="119"/>
        <v>0</v>
      </c>
      <c r="N766" s="17">
        <f t="shared" si="121"/>
        <v>0</v>
      </c>
      <c r="O766" s="32">
        <f t="shared" si="122"/>
        <v>0</v>
      </c>
      <c r="AG766" t="s">
        <v>224</v>
      </c>
      <c r="AH766" t="s">
        <v>583</v>
      </c>
      <c r="AI766">
        <v>1</v>
      </c>
      <c r="AJ766">
        <v>32</v>
      </c>
      <c r="AK766">
        <v>13</v>
      </c>
      <c r="AL766">
        <v>7</v>
      </c>
      <c r="AM766">
        <v>565</v>
      </c>
      <c r="AN766">
        <v>922</v>
      </c>
      <c r="AO766">
        <v>416</v>
      </c>
      <c r="AP766" s="44">
        <v>0.8717948717948718</v>
      </c>
      <c r="AQ766" s="27">
        <f t="shared" si="120"/>
        <v>1849</v>
      </c>
    </row>
    <row r="767" spans="1:43" ht="12.75">
      <c r="A767" s="7" t="s">
        <v>570</v>
      </c>
      <c r="B767" s="7" t="s">
        <v>2040</v>
      </c>
      <c r="C767" t="s">
        <v>5</v>
      </c>
      <c r="D767" s="57">
        <f>D$762</f>
        <v>1</v>
      </c>
      <c r="E767" s="7" t="s">
        <v>851</v>
      </c>
      <c r="F767" s="19"/>
      <c r="G767" s="4">
        <f>IF(F767&gt;0,F767,IF(PrefetchDBSummary!$C$10="B",AJ767,8))</f>
        <v>8</v>
      </c>
      <c r="H767" s="4">
        <f>PrefetchDBSummary!$C$69</f>
        <v>0</v>
      </c>
      <c r="I767" s="4">
        <f>PrefetchDBSummary!$D$69</f>
        <v>0</v>
      </c>
      <c r="J767" s="5">
        <f aca="true" t="shared" si="123" ref="J767:J795">IF(H767&gt;0,(AQ767)/(AI767*60),IF(I767&gt;0,(AQ767)/(5*60),0))</f>
        <v>0</v>
      </c>
      <c r="K767" s="4">
        <f aca="true" t="shared" si="124" ref="K767:K795">IF(H767&gt;0,D767/AI767,IF(I767&gt;0,D767/5,0))</f>
        <v>0</v>
      </c>
      <c r="L767" s="4">
        <f aca="true" t="shared" si="125" ref="L767:L795">H767*D767/AI767+I767*D767/5</f>
        <v>0</v>
      </c>
      <c r="M767" s="5">
        <f aca="true" t="shared" si="126" ref="M767:M795">L767*AM767*(1-IF(AP767&gt;0,AP767,$AS$2)*$AS$3)/1024</f>
        <v>0</v>
      </c>
      <c r="N767" s="17">
        <f t="shared" si="121"/>
        <v>0</v>
      </c>
      <c r="O767" s="32">
        <f t="shared" si="122"/>
        <v>0</v>
      </c>
      <c r="AG767" t="s">
        <v>223</v>
      </c>
      <c r="AH767" t="s">
        <v>583</v>
      </c>
      <c r="AI767">
        <v>1</v>
      </c>
      <c r="AJ767">
        <v>8</v>
      </c>
      <c r="AK767">
        <v>10</v>
      </c>
      <c r="AL767">
        <v>7</v>
      </c>
      <c r="AM767">
        <v>217</v>
      </c>
      <c r="AN767">
        <v>444</v>
      </c>
      <c r="AO767">
        <v>128</v>
      </c>
      <c r="AP767" s="44"/>
      <c r="AQ767" s="27">
        <f t="shared" si="120"/>
        <v>603.2</v>
      </c>
    </row>
    <row r="768" spans="1:43" ht="12.75">
      <c r="A768" s="7" t="s">
        <v>570</v>
      </c>
      <c r="B768" s="7" t="s">
        <v>2040</v>
      </c>
      <c r="C768" t="s">
        <v>6</v>
      </c>
      <c r="D768" s="4">
        <f>PrefetchDBSummary!E70</f>
        <v>33</v>
      </c>
      <c r="E768" s="7" t="s">
        <v>854</v>
      </c>
      <c r="F768" s="19"/>
      <c r="G768" s="4">
        <f>IF(F768&gt;0,F768,IF(PrefetchDBSummary!$C$10="B",AJ768,8))</f>
        <v>8</v>
      </c>
      <c r="H768" s="4">
        <f>PrefetchDBSummary!$C$69</f>
        <v>0</v>
      </c>
      <c r="I768" s="4">
        <f>PrefetchDBSummary!$D$69</f>
        <v>0</v>
      </c>
      <c r="J768" s="5">
        <f t="shared" si="123"/>
        <v>0</v>
      </c>
      <c r="K768" s="4">
        <f t="shared" si="124"/>
        <v>0</v>
      </c>
      <c r="L768" s="4">
        <f t="shared" si="125"/>
        <v>0</v>
      </c>
      <c r="M768" s="5">
        <f t="shared" si="126"/>
        <v>0</v>
      </c>
      <c r="N768" s="17">
        <f t="shared" si="121"/>
        <v>0</v>
      </c>
      <c r="O768" s="32">
        <f t="shared" si="122"/>
        <v>0</v>
      </c>
      <c r="AG768" t="s">
        <v>226</v>
      </c>
      <c r="AH768" t="s">
        <v>583</v>
      </c>
      <c r="AI768">
        <v>1</v>
      </c>
      <c r="AJ768">
        <v>8</v>
      </c>
      <c r="AK768">
        <v>18</v>
      </c>
      <c r="AL768">
        <v>11</v>
      </c>
      <c r="AM768">
        <v>458</v>
      </c>
      <c r="AN768">
        <v>758</v>
      </c>
      <c r="AO768">
        <v>320</v>
      </c>
      <c r="AP768" s="44"/>
      <c r="AQ768" s="27">
        <f aca="true" t="shared" si="127" ref="AQ768:AQ795">250+19*AK768+D768*(23+(AM768-AO768)+AO768*(1-IF(AP768&gt;0,AP768,$AS$2)))</f>
        <v>10129</v>
      </c>
    </row>
    <row r="769" spans="1:43" ht="12.75">
      <c r="A769" s="7" t="s">
        <v>570</v>
      </c>
      <c r="B769" s="7" t="s">
        <v>2040</v>
      </c>
      <c r="C769" t="s">
        <v>408</v>
      </c>
      <c r="D769" s="57">
        <f>D$762</f>
        <v>1</v>
      </c>
      <c r="E769" s="7" t="s">
        <v>815</v>
      </c>
      <c r="F769" s="19"/>
      <c r="G769" s="4">
        <f>IF(F769&gt;0,F769,IF(PrefetchDBSummary!$C$10="B",AJ769,8))</f>
        <v>8</v>
      </c>
      <c r="H769" s="4">
        <f>PrefetchDBSummary!$C$69</f>
        <v>0</v>
      </c>
      <c r="I769" s="4">
        <f>PrefetchDBSummary!$D$69</f>
        <v>0</v>
      </c>
      <c r="J769" s="5">
        <f t="shared" si="123"/>
        <v>0</v>
      </c>
      <c r="K769" s="4">
        <f t="shared" si="124"/>
        <v>0</v>
      </c>
      <c r="L769" s="4">
        <f t="shared" si="125"/>
        <v>0</v>
      </c>
      <c r="M769" s="5">
        <f t="shared" si="126"/>
        <v>0</v>
      </c>
      <c r="N769" s="17">
        <f t="shared" si="121"/>
        <v>0</v>
      </c>
      <c r="O769" s="32">
        <f t="shared" si="122"/>
        <v>0</v>
      </c>
      <c r="AG769" t="s">
        <v>227</v>
      </c>
      <c r="AH769" t="s">
        <v>583</v>
      </c>
      <c r="AI769">
        <v>1</v>
      </c>
      <c r="AJ769">
        <v>32</v>
      </c>
      <c r="AK769">
        <v>16</v>
      </c>
      <c r="AL769">
        <v>8</v>
      </c>
      <c r="AM769">
        <v>756</v>
      </c>
      <c r="AN769">
        <v>1053</v>
      </c>
      <c r="AO769">
        <v>640</v>
      </c>
      <c r="AP769" s="44">
        <v>0.88515625</v>
      </c>
      <c r="AQ769" s="27">
        <f t="shared" si="127"/>
        <v>766.5</v>
      </c>
    </row>
    <row r="770" spans="1:43" ht="12.75">
      <c r="A770" s="7" t="s">
        <v>570</v>
      </c>
      <c r="B770" s="7" t="s">
        <v>2040</v>
      </c>
      <c r="C770" t="s">
        <v>879</v>
      </c>
      <c r="D770" s="57">
        <f>D$762</f>
        <v>1</v>
      </c>
      <c r="E770" s="7" t="s">
        <v>815</v>
      </c>
      <c r="F770" s="19"/>
      <c r="G770" s="4">
        <f>IF(F770&gt;0,F770,IF(PrefetchDBSummary!$C$10="B",AJ770,8))</f>
        <v>8</v>
      </c>
      <c r="H770" s="4">
        <f>PrefetchDBSummary!$C$69</f>
        <v>0</v>
      </c>
      <c r="I770" s="4">
        <f>PrefetchDBSummary!$D$69</f>
        <v>0</v>
      </c>
      <c r="J770" s="5">
        <f t="shared" si="123"/>
        <v>0</v>
      </c>
      <c r="K770" s="4">
        <f t="shared" si="124"/>
        <v>0</v>
      </c>
      <c r="L770" s="4">
        <f t="shared" si="125"/>
        <v>0</v>
      </c>
      <c r="M770" s="5">
        <f t="shared" si="126"/>
        <v>0</v>
      </c>
      <c r="N770" s="17">
        <f t="shared" si="121"/>
        <v>0</v>
      </c>
      <c r="O770" s="32">
        <f t="shared" si="122"/>
        <v>0</v>
      </c>
      <c r="AG770" t="s">
        <v>880</v>
      </c>
      <c r="AH770" t="s">
        <v>583</v>
      </c>
      <c r="AI770">
        <v>5</v>
      </c>
      <c r="AJ770">
        <v>8</v>
      </c>
      <c r="AK770">
        <v>7</v>
      </c>
      <c r="AL770">
        <v>0</v>
      </c>
      <c r="AM770">
        <v>547</v>
      </c>
      <c r="AN770">
        <v>547</v>
      </c>
      <c r="AO770">
        <v>512</v>
      </c>
      <c r="AP770" s="44">
        <v>0.88515625</v>
      </c>
      <c r="AQ770" s="27">
        <f t="shared" si="127"/>
        <v>499.8</v>
      </c>
    </row>
    <row r="771" spans="1:43" ht="12.75">
      <c r="A771" s="7" t="s">
        <v>570</v>
      </c>
      <c r="B771" s="7" t="s">
        <v>2040</v>
      </c>
      <c r="C771" t="s">
        <v>409</v>
      </c>
      <c r="D771" s="57">
        <v>10</v>
      </c>
      <c r="E771" s="7" t="s">
        <v>856</v>
      </c>
      <c r="F771" s="19"/>
      <c r="G771" s="4">
        <f>IF(F771&gt;0,F771,IF(PrefetchDBSummary!$C$10="B",AJ771,8))</f>
        <v>8</v>
      </c>
      <c r="H771" s="4">
        <f>PrefetchDBSummary!$C$69</f>
        <v>0</v>
      </c>
      <c r="I771" s="4">
        <f>PrefetchDBSummary!$D$69</f>
        <v>0</v>
      </c>
      <c r="J771" s="5">
        <f t="shared" si="123"/>
        <v>0</v>
      </c>
      <c r="K771" s="4">
        <f t="shared" si="124"/>
        <v>0</v>
      </c>
      <c r="L771" s="4">
        <f t="shared" si="125"/>
        <v>0</v>
      </c>
      <c r="M771" s="5">
        <f t="shared" si="126"/>
        <v>0</v>
      </c>
      <c r="N771" s="17">
        <f t="shared" si="121"/>
        <v>0</v>
      </c>
      <c r="O771" s="32">
        <f t="shared" si="122"/>
        <v>0</v>
      </c>
      <c r="AG771" t="s">
        <v>222</v>
      </c>
      <c r="AH771" t="s">
        <v>583</v>
      </c>
      <c r="AI771">
        <v>1</v>
      </c>
      <c r="AJ771">
        <v>8</v>
      </c>
      <c r="AK771">
        <v>8</v>
      </c>
      <c r="AL771">
        <v>0</v>
      </c>
      <c r="AM771">
        <v>452</v>
      </c>
      <c r="AN771">
        <v>452</v>
      </c>
      <c r="AO771">
        <v>384</v>
      </c>
      <c r="AP771" s="44"/>
      <c r="AQ771" s="27">
        <f t="shared" si="127"/>
        <v>2848</v>
      </c>
    </row>
    <row r="772" spans="1:43" ht="12.75">
      <c r="A772" s="7" t="s">
        <v>570</v>
      </c>
      <c r="B772" s="7" t="s">
        <v>2040</v>
      </c>
      <c r="C772" t="s">
        <v>324</v>
      </c>
      <c r="D772" s="57">
        <f>D$762</f>
        <v>1</v>
      </c>
      <c r="E772" s="7" t="s">
        <v>857</v>
      </c>
      <c r="F772" s="19"/>
      <c r="G772" s="4">
        <f>IF(F772&gt;0,F772,IF(PrefetchDBSummary!$C$10="B",AJ772,8))</f>
        <v>8</v>
      </c>
      <c r="H772" s="4">
        <f>PrefetchDBSummary!$C$69</f>
        <v>0</v>
      </c>
      <c r="I772" s="4">
        <f>PrefetchDBSummary!$D$69</f>
        <v>0</v>
      </c>
      <c r="J772" s="5">
        <f t="shared" si="123"/>
        <v>0</v>
      </c>
      <c r="K772" s="4">
        <f t="shared" si="124"/>
        <v>0</v>
      </c>
      <c r="L772" s="4">
        <f t="shared" si="125"/>
        <v>0</v>
      </c>
      <c r="M772" s="5">
        <f t="shared" si="126"/>
        <v>0</v>
      </c>
      <c r="N772" s="17">
        <f t="shared" si="121"/>
        <v>0</v>
      </c>
      <c r="O772" s="32">
        <f t="shared" si="122"/>
        <v>0</v>
      </c>
      <c r="AG772" t="s">
        <v>287</v>
      </c>
      <c r="AH772" t="s">
        <v>583</v>
      </c>
      <c r="AI772">
        <v>1</v>
      </c>
      <c r="AJ772">
        <v>8</v>
      </c>
      <c r="AK772">
        <v>8</v>
      </c>
      <c r="AL772">
        <v>4</v>
      </c>
      <c r="AM772">
        <v>428</v>
      </c>
      <c r="AN772">
        <v>533</v>
      </c>
      <c r="AO772">
        <v>384</v>
      </c>
      <c r="AP772" s="44"/>
      <c r="AQ772" s="27">
        <f t="shared" si="127"/>
        <v>622.6</v>
      </c>
    </row>
    <row r="773" spans="1:43" ht="12.75">
      <c r="A773" s="7" t="s">
        <v>570</v>
      </c>
      <c r="B773" s="7" t="s">
        <v>2040</v>
      </c>
      <c r="C773" t="s">
        <v>325</v>
      </c>
      <c r="D773" s="57">
        <f>D$762*3</f>
        <v>3</v>
      </c>
      <c r="E773" s="7" t="s">
        <v>860</v>
      </c>
      <c r="F773" s="19"/>
      <c r="G773" s="4">
        <f>IF(F773&gt;0,F773,IF(PrefetchDBSummary!$C$10="B",AJ773,8))</f>
        <v>8</v>
      </c>
      <c r="H773" s="4">
        <f>PrefetchDBSummary!$C$69</f>
        <v>0</v>
      </c>
      <c r="I773" s="4">
        <f>PrefetchDBSummary!$D$69</f>
        <v>0</v>
      </c>
      <c r="J773" s="5">
        <f t="shared" si="123"/>
        <v>0</v>
      </c>
      <c r="K773" s="4">
        <f t="shared" si="124"/>
        <v>0</v>
      </c>
      <c r="L773" s="4">
        <f t="shared" si="125"/>
        <v>0</v>
      </c>
      <c r="M773" s="5">
        <f t="shared" si="126"/>
        <v>0</v>
      </c>
      <c r="N773" s="17">
        <f t="shared" si="121"/>
        <v>0</v>
      </c>
      <c r="O773" s="32">
        <f t="shared" si="122"/>
        <v>0</v>
      </c>
      <c r="AG773" t="s">
        <v>96</v>
      </c>
      <c r="AH773" t="s">
        <v>583</v>
      </c>
      <c r="AI773">
        <v>1</v>
      </c>
      <c r="AJ773">
        <v>32</v>
      </c>
      <c r="AK773">
        <v>16</v>
      </c>
      <c r="AL773">
        <v>5</v>
      </c>
      <c r="AM773">
        <v>983</v>
      </c>
      <c r="AN773">
        <v>1156</v>
      </c>
      <c r="AO773">
        <v>896</v>
      </c>
      <c r="AP773" s="44">
        <v>0.8349454365079365</v>
      </c>
      <c r="AQ773" s="27">
        <f t="shared" si="127"/>
        <v>1327.6666666666667</v>
      </c>
    </row>
    <row r="774" spans="1:43" ht="12.75">
      <c r="A774" s="7" t="s">
        <v>570</v>
      </c>
      <c r="B774" s="7" t="s">
        <v>2040</v>
      </c>
      <c r="C774" t="s">
        <v>396</v>
      </c>
      <c r="D774" s="57">
        <f>D$762*24</f>
        <v>24</v>
      </c>
      <c r="E774" s="7" t="s">
        <v>742</v>
      </c>
      <c r="F774" s="19"/>
      <c r="G774" s="4">
        <f>IF(F774&gt;0,F774,IF(PrefetchDBSummary!$C$10="B",AJ774,8))</f>
        <v>8</v>
      </c>
      <c r="H774" s="4">
        <f>PrefetchDBSummary!$C$69</f>
        <v>0</v>
      </c>
      <c r="I774" s="4">
        <f>PrefetchDBSummary!$D$69</f>
        <v>0</v>
      </c>
      <c r="J774" s="5">
        <f t="shared" si="123"/>
        <v>0</v>
      </c>
      <c r="K774" s="4">
        <f t="shared" si="124"/>
        <v>0</v>
      </c>
      <c r="L774" s="4">
        <f t="shared" si="125"/>
        <v>0</v>
      </c>
      <c r="M774" s="5">
        <f t="shared" si="126"/>
        <v>0</v>
      </c>
      <c r="N774" s="17">
        <f t="shared" si="121"/>
        <v>0</v>
      </c>
      <c r="O774" s="32">
        <f t="shared" si="122"/>
        <v>0</v>
      </c>
      <c r="AG774" t="s">
        <v>388</v>
      </c>
      <c r="AH774" t="s">
        <v>583</v>
      </c>
      <c r="AI774">
        <v>1</v>
      </c>
      <c r="AJ774">
        <v>32</v>
      </c>
      <c r="AK774">
        <v>9</v>
      </c>
      <c r="AL774">
        <v>1</v>
      </c>
      <c r="AM774">
        <v>937</v>
      </c>
      <c r="AN774">
        <v>976</v>
      </c>
      <c r="AO774">
        <v>896</v>
      </c>
      <c r="AP774" s="44">
        <v>0.9103860294117647</v>
      </c>
      <c r="AQ774" s="27">
        <f t="shared" si="127"/>
        <v>3884.0588235294117</v>
      </c>
    </row>
    <row r="775" spans="1:43" ht="12.75">
      <c r="A775" s="7" t="s">
        <v>570</v>
      </c>
      <c r="B775" s="7" t="s">
        <v>2040</v>
      </c>
      <c r="C775" t="s">
        <v>397</v>
      </c>
      <c r="D775" s="57">
        <f>D$762</f>
        <v>1</v>
      </c>
      <c r="E775" s="7" t="s">
        <v>858</v>
      </c>
      <c r="F775" s="19"/>
      <c r="G775" s="4">
        <f>IF(F775&gt;0,F775,IF(PrefetchDBSummary!$C$10="B",AJ775,8))</f>
        <v>8</v>
      </c>
      <c r="H775" s="4">
        <f>PrefetchDBSummary!$C$69</f>
        <v>0</v>
      </c>
      <c r="I775" s="4">
        <f>PrefetchDBSummary!$D$69</f>
        <v>0</v>
      </c>
      <c r="J775" s="5">
        <f t="shared" si="123"/>
        <v>0</v>
      </c>
      <c r="K775" s="4">
        <f t="shared" si="124"/>
        <v>0</v>
      </c>
      <c r="L775" s="4">
        <f t="shared" si="125"/>
        <v>0</v>
      </c>
      <c r="M775" s="5">
        <f t="shared" si="126"/>
        <v>0</v>
      </c>
      <c r="N775" s="17">
        <f t="shared" si="121"/>
        <v>0</v>
      </c>
      <c r="O775" s="32">
        <f t="shared" si="122"/>
        <v>0</v>
      </c>
      <c r="AG775" t="s">
        <v>288</v>
      </c>
      <c r="AH775" t="s">
        <v>583</v>
      </c>
      <c r="AI775">
        <v>1</v>
      </c>
      <c r="AJ775">
        <v>8</v>
      </c>
      <c r="AK775">
        <v>11</v>
      </c>
      <c r="AL775">
        <v>3</v>
      </c>
      <c r="AM775">
        <v>1211</v>
      </c>
      <c r="AN775">
        <v>1256</v>
      </c>
      <c r="AO775">
        <v>1152</v>
      </c>
      <c r="AP775" s="44"/>
      <c r="AQ775" s="27">
        <f t="shared" si="127"/>
        <v>1001.8</v>
      </c>
    </row>
    <row r="776" spans="1:43" ht="12.75">
      <c r="A776" s="7" t="s">
        <v>570</v>
      </c>
      <c r="B776" s="7" t="s">
        <v>2040</v>
      </c>
      <c r="C776" t="s">
        <v>1035</v>
      </c>
      <c r="D776" s="57">
        <f>D777</f>
        <v>44</v>
      </c>
      <c r="E776" s="7" t="s">
        <v>1657</v>
      </c>
      <c r="F776" s="19"/>
      <c r="G776" s="4">
        <f>IF(F776&gt;0,F776,IF(PrefetchDBSummary!$C$10="B",AJ776,8))</f>
        <v>8</v>
      </c>
      <c r="H776" s="4">
        <f>PrefetchDBSummary!$C$69</f>
        <v>0</v>
      </c>
      <c r="I776" s="4">
        <f>PrefetchDBSummary!$D$69</f>
        <v>0</v>
      </c>
      <c r="J776" s="5">
        <f t="shared" si="123"/>
        <v>0</v>
      </c>
      <c r="K776" s="4">
        <f t="shared" si="124"/>
        <v>0</v>
      </c>
      <c r="L776" s="4">
        <f t="shared" si="125"/>
        <v>0</v>
      </c>
      <c r="M776" s="5">
        <f t="shared" si="126"/>
        <v>0</v>
      </c>
      <c r="N776" s="17">
        <f t="shared" si="121"/>
        <v>0</v>
      </c>
      <c r="O776" s="32">
        <f t="shared" si="122"/>
        <v>0</v>
      </c>
      <c r="AG776" t="s">
        <v>1036</v>
      </c>
      <c r="AH776" t="s">
        <v>583</v>
      </c>
      <c r="AI776">
        <v>1</v>
      </c>
      <c r="AJ776">
        <v>32</v>
      </c>
      <c r="AK776">
        <v>7</v>
      </c>
      <c r="AL776">
        <v>1</v>
      </c>
      <c r="AM776">
        <v>683</v>
      </c>
      <c r="AN776">
        <v>683</v>
      </c>
      <c r="AO776">
        <v>640</v>
      </c>
      <c r="AP776" s="44">
        <v>0.8539806547619048</v>
      </c>
      <c r="AQ776" s="27">
        <f t="shared" si="127"/>
        <v>7398.904761904762</v>
      </c>
    </row>
    <row r="777" spans="1:43" ht="12.75">
      <c r="A777" s="7" t="s">
        <v>570</v>
      </c>
      <c r="B777" s="7" t="s">
        <v>2040</v>
      </c>
      <c r="C777" t="s">
        <v>322</v>
      </c>
      <c r="D777" s="4">
        <f>PrefetchDBSummary!E71</f>
        <v>44</v>
      </c>
      <c r="E777" s="7" t="s">
        <v>1658</v>
      </c>
      <c r="F777" s="19"/>
      <c r="G777" s="4">
        <f>IF(F777&gt;0,F777,IF(PrefetchDBSummary!$C$10="B",AJ777,8))</f>
        <v>8</v>
      </c>
      <c r="H777" s="4">
        <f>PrefetchDBSummary!$C$69</f>
        <v>0</v>
      </c>
      <c r="I777" s="4">
        <f>PrefetchDBSummary!$D$69</f>
        <v>0</v>
      </c>
      <c r="J777" s="5">
        <f t="shared" si="123"/>
        <v>0</v>
      </c>
      <c r="K777" s="4">
        <f t="shared" si="124"/>
        <v>0</v>
      </c>
      <c r="L777" s="4">
        <f t="shared" si="125"/>
        <v>0</v>
      </c>
      <c r="M777" s="5">
        <f t="shared" si="126"/>
        <v>0</v>
      </c>
      <c r="N777" s="17">
        <f t="shared" si="121"/>
        <v>0</v>
      </c>
      <c r="O777" s="32">
        <f t="shared" si="122"/>
        <v>0</v>
      </c>
      <c r="AG777" t="s">
        <v>97</v>
      </c>
      <c r="AH777" t="s">
        <v>583</v>
      </c>
      <c r="AI777">
        <v>1</v>
      </c>
      <c r="AJ777">
        <v>32</v>
      </c>
      <c r="AK777">
        <v>10</v>
      </c>
      <c r="AL777">
        <v>5</v>
      </c>
      <c r="AM777">
        <v>594</v>
      </c>
      <c r="AN777">
        <v>791</v>
      </c>
      <c r="AO777">
        <v>512</v>
      </c>
      <c r="AP777" s="44">
        <v>0.8539806547619048</v>
      </c>
      <c r="AQ777" s="27">
        <f t="shared" si="127"/>
        <v>8349.52380952381</v>
      </c>
    </row>
    <row r="778" spans="1:43" ht="12.75">
      <c r="A778" s="7" t="s">
        <v>570</v>
      </c>
      <c r="B778" s="7" t="s">
        <v>2040</v>
      </c>
      <c r="C778" t="s">
        <v>323</v>
      </c>
      <c r="D778" s="57">
        <f>D$762*12</f>
        <v>12</v>
      </c>
      <c r="E778" s="7" t="s">
        <v>724</v>
      </c>
      <c r="F778" s="19"/>
      <c r="G778" s="4">
        <f>IF(F778&gt;0,F778,IF(PrefetchDBSummary!$C$10="B",AJ778,8))</f>
        <v>8</v>
      </c>
      <c r="H778" s="4">
        <f>PrefetchDBSummary!$C$69</f>
        <v>0</v>
      </c>
      <c r="I778" s="4">
        <f>PrefetchDBSummary!$D$69</f>
        <v>0</v>
      </c>
      <c r="J778" s="5">
        <f t="shared" si="123"/>
        <v>0</v>
      </c>
      <c r="K778" s="4">
        <f t="shared" si="124"/>
        <v>0</v>
      </c>
      <c r="L778" s="4">
        <f t="shared" si="125"/>
        <v>0</v>
      </c>
      <c r="M778" s="5">
        <f t="shared" si="126"/>
        <v>0</v>
      </c>
      <c r="N778" s="17">
        <f t="shared" si="121"/>
        <v>0</v>
      </c>
      <c r="O778" s="32">
        <f t="shared" si="122"/>
        <v>0</v>
      </c>
      <c r="AG778" t="s">
        <v>382</v>
      </c>
      <c r="AH778" t="s">
        <v>583</v>
      </c>
      <c r="AI778">
        <v>1</v>
      </c>
      <c r="AJ778">
        <v>32</v>
      </c>
      <c r="AK778">
        <v>10</v>
      </c>
      <c r="AL778">
        <v>4</v>
      </c>
      <c r="AM778">
        <v>610</v>
      </c>
      <c r="AN778">
        <v>814</v>
      </c>
      <c r="AO778">
        <v>512</v>
      </c>
      <c r="AP778" s="44">
        <v>0.8984375</v>
      </c>
      <c r="AQ778" s="27">
        <f t="shared" si="127"/>
        <v>2516</v>
      </c>
    </row>
    <row r="779" spans="1:43" ht="12.75">
      <c r="A779" s="7" t="s">
        <v>570</v>
      </c>
      <c r="B779" s="7" t="s">
        <v>2040</v>
      </c>
      <c r="C779" t="s">
        <v>297</v>
      </c>
      <c r="D779" s="57">
        <f>D777</f>
        <v>44</v>
      </c>
      <c r="E779" s="7" t="s">
        <v>853</v>
      </c>
      <c r="F779" s="19"/>
      <c r="G779" s="4">
        <f>IF(F779&gt;0,F779,IF(PrefetchDBSummary!$C$10="B",AJ779,8))</f>
        <v>8</v>
      </c>
      <c r="H779" s="4">
        <f>PrefetchDBSummary!$C$69</f>
        <v>0</v>
      </c>
      <c r="I779" s="4">
        <f>PrefetchDBSummary!$D$69</f>
        <v>0</v>
      </c>
      <c r="J779" s="5">
        <f t="shared" si="123"/>
        <v>0</v>
      </c>
      <c r="K779" s="4">
        <f t="shared" si="124"/>
        <v>0</v>
      </c>
      <c r="L779" s="4">
        <f t="shared" si="125"/>
        <v>0</v>
      </c>
      <c r="M779" s="5">
        <f t="shared" si="126"/>
        <v>0</v>
      </c>
      <c r="N779" s="17">
        <f t="shared" si="121"/>
        <v>0</v>
      </c>
      <c r="O779" s="32">
        <f t="shared" si="122"/>
        <v>0</v>
      </c>
      <c r="AG779" t="s">
        <v>219</v>
      </c>
      <c r="AH779" t="s">
        <v>583</v>
      </c>
      <c r="AI779">
        <v>1</v>
      </c>
      <c r="AJ779">
        <v>32</v>
      </c>
      <c r="AK779">
        <v>9</v>
      </c>
      <c r="AL779">
        <v>4</v>
      </c>
      <c r="AM779">
        <v>453</v>
      </c>
      <c r="AN779">
        <v>599</v>
      </c>
      <c r="AO779">
        <v>384</v>
      </c>
      <c r="AP779" s="44">
        <v>0.8626512096774194</v>
      </c>
      <c r="AQ779" s="27">
        <f t="shared" si="127"/>
        <v>6789.645161290323</v>
      </c>
    </row>
    <row r="780" spans="1:43" ht="12.75">
      <c r="A780" t="s">
        <v>570</v>
      </c>
      <c r="B780" s="7" t="s">
        <v>2040</v>
      </c>
      <c r="C780" t="s">
        <v>298</v>
      </c>
      <c r="D780" s="57">
        <f>D$762*8</f>
        <v>8</v>
      </c>
      <c r="E780" s="7" t="s">
        <v>801</v>
      </c>
      <c r="F780" s="19"/>
      <c r="G780" s="4">
        <f>IF(F780&gt;0,F780,IF(PrefetchDBSummary!$C$10="B",AJ780,8))</f>
        <v>8</v>
      </c>
      <c r="H780" s="4">
        <f>PrefetchDBSummary!$C$69</f>
        <v>0</v>
      </c>
      <c r="I780" s="4">
        <f>PrefetchDBSummary!$D$69</f>
        <v>0</v>
      </c>
      <c r="J780" s="5">
        <f t="shared" si="123"/>
        <v>0</v>
      </c>
      <c r="K780" s="4">
        <f t="shared" si="124"/>
        <v>0</v>
      </c>
      <c r="L780" s="4">
        <f t="shared" si="125"/>
        <v>0</v>
      </c>
      <c r="M780" s="5">
        <f t="shared" si="126"/>
        <v>0</v>
      </c>
      <c r="N780" s="17">
        <f t="shared" si="121"/>
        <v>0</v>
      </c>
      <c r="O780" s="32">
        <f t="shared" si="122"/>
        <v>0</v>
      </c>
      <c r="AG780" t="s">
        <v>290</v>
      </c>
      <c r="AH780" t="s">
        <v>583</v>
      </c>
      <c r="AI780">
        <v>1</v>
      </c>
      <c r="AJ780">
        <v>32</v>
      </c>
      <c r="AK780">
        <v>8</v>
      </c>
      <c r="AL780">
        <v>4</v>
      </c>
      <c r="AM780">
        <v>440</v>
      </c>
      <c r="AN780">
        <v>574</v>
      </c>
      <c r="AO780">
        <v>384</v>
      </c>
      <c r="AP780" s="44"/>
      <c r="AQ780" s="27">
        <f t="shared" si="127"/>
        <v>2262.8</v>
      </c>
    </row>
    <row r="781" spans="1:43" ht="12.75">
      <c r="A781" t="s">
        <v>570</v>
      </c>
      <c r="B781" s="7" t="s">
        <v>2040</v>
      </c>
      <c r="C781" t="s">
        <v>163</v>
      </c>
      <c r="D781" s="57">
        <f>D$762</f>
        <v>1</v>
      </c>
      <c r="E781" s="7" t="s">
        <v>859</v>
      </c>
      <c r="F781" s="19"/>
      <c r="G781" s="4">
        <f>IF(F781&gt;0,F781,IF(PrefetchDBSummary!$C$10="B",AJ781,8))</f>
        <v>8</v>
      </c>
      <c r="H781" s="4">
        <f>PrefetchDBSummary!$C$69</f>
        <v>0</v>
      </c>
      <c r="I781" s="4">
        <f>PrefetchDBSummary!$D$69</f>
        <v>0</v>
      </c>
      <c r="J781" s="5">
        <f t="shared" si="123"/>
        <v>0</v>
      </c>
      <c r="K781" s="4">
        <f t="shared" si="124"/>
        <v>0</v>
      </c>
      <c r="L781" s="4">
        <f t="shared" si="125"/>
        <v>0</v>
      </c>
      <c r="M781" s="5">
        <f t="shared" si="126"/>
        <v>0</v>
      </c>
      <c r="N781" s="17">
        <f t="shared" si="121"/>
        <v>0</v>
      </c>
      <c r="O781" s="32">
        <f t="shared" si="122"/>
        <v>0</v>
      </c>
      <c r="AG781" t="s">
        <v>289</v>
      </c>
      <c r="AH781" t="s">
        <v>583</v>
      </c>
      <c r="AI781">
        <v>1</v>
      </c>
      <c r="AJ781">
        <v>8</v>
      </c>
      <c r="AK781">
        <v>8</v>
      </c>
      <c r="AL781">
        <v>4</v>
      </c>
      <c r="AM781">
        <v>428</v>
      </c>
      <c r="AN781">
        <v>516</v>
      </c>
      <c r="AO781">
        <v>384</v>
      </c>
      <c r="AP781" s="44"/>
      <c r="AQ781" s="27">
        <f t="shared" si="127"/>
        <v>622.6</v>
      </c>
    </row>
    <row r="782" spans="1:43" ht="12.75">
      <c r="A782" s="7" t="s">
        <v>1622</v>
      </c>
      <c r="B782" s="7" t="s">
        <v>1623</v>
      </c>
      <c r="C782" t="s">
        <v>1624</v>
      </c>
      <c r="D782" s="57">
        <v>1</v>
      </c>
      <c r="E782" s="7" t="s">
        <v>721</v>
      </c>
      <c r="F782" s="19"/>
      <c r="G782" s="4">
        <f>IF(F782&gt;0,F782,IF(PrefetchDBSummary!$C$10="B",AJ782,8))</f>
        <v>8</v>
      </c>
      <c r="H782" s="4">
        <f>PrefetchDBSummary!$C$14</f>
        <v>0</v>
      </c>
      <c r="I782" s="4">
        <f>PrefetchDBSummary!$D$14</f>
        <v>0</v>
      </c>
      <c r="J782" s="5">
        <f t="shared" si="123"/>
        <v>0</v>
      </c>
      <c r="K782" s="4">
        <f t="shared" si="124"/>
        <v>0</v>
      </c>
      <c r="L782" s="4">
        <f t="shared" si="125"/>
        <v>0</v>
      </c>
      <c r="M782" s="5">
        <f t="shared" si="126"/>
        <v>0</v>
      </c>
      <c r="N782" s="17">
        <f t="shared" si="121"/>
        <v>0</v>
      </c>
      <c r="O782" s="32">
        <f t="shared" si="122"/>
        <v>0</v>
      </c>
      <c r="AG782" t="s">
        <v>1633</v>
      </c>
      <c r="AH782" t="s">
        <v>582</v>
      </c>
      <c r="AI782">
        <v>5</v>
      </c>
      <c r="AJ782">
        <v>8</v>
      </c>
      <c r="AK782">
        <v>3</v>
      </c>
      <c r="AL782">
        <v>0</v>
      </c>
      <c r="AM782">
        <v>115</v>
      </c>
      <c r="AN782">
        <v>115</v>
      </c>
      <c r="AO782">
        <v>96</v>
      </c>
      <c r="AP782" s="44"/>
      <c r="AQ782" s="27">
        <f t="shared" si="127"/>
        <v>387.4</v>
      </c>
    </row>
    <row r="783" spans="1:43" ht="12.75">
      <c r="A783" s="7" t="s">
        <v>1622</v>
      </c>
      <c r="B783" s="7" t="s">
        <v>1623</v>
      </c>
      <c r="C783" t="s">
        <v>1625</v>
      </c>
      <c r="D783" s="57">
        <v>33</v>
      </c>
      <c r="E783" s="7" t="s">
        <v>1860</v>
      </c>
      <c r="F783" s="19"/>
      <c r="G783" s="4">
        <f>IF(F783&gt;0,F783,IF(PrefetchDBSummary!$C$10="B",AJ783,8))</f>
        <v>8</v>
      </c>
      <c r="H783" s="4">
        <f>PrefetchDBSummary!$C$14</f>
        <v>0</v>
      </c>
      <c r="I783" s="4">
        <f>PrefetchDBSummary!$D$14</f>
        <v>0</v>
      </c>
      <c r="J783" s="5">
        <f t="shared" si="123"/>
        <v>0</v>
      </c>
      <c r="K783" s="4">
        <f t="shared" si="124"/>
        <v>0</v>
      </c>
      <c r="L783" s="4">
        <f t="shared" si="125"/>
        <v>0</v>
      </c>
      <c r="M783" s="5">
        <f t="shared" si="126"/>
        <v>0</v>
      </c>
      <c r="N783" s="17">
        <f t="shared" si="121"/>
        <v>0</v>
      </c>
      <c r="O783" s="32">
        <f t="shared" si="122"/>
        <v>0</v>
      </c>
      <c r="AG783" t="s">
        <v>1634</v>
      </c>
      <c r="AH783" t="s">
        <v>583</v>
      </c>
      <c r="AI783">
        <v>2</v>
      </c>
      <c r="AJ783">
        <v>15</v>
      </c>
      <c r="AK783">
        <v>10</v>
      </c>
      <c r="AL783">
        <v>4</v>
      </c>
      <c r="AM783">
        <v>362</v>
      </c>
      <c r="AN783">
        <v>550</v>
      </c>
      <c r="AO783">
        <v>288</v>
      </c>
      <c r="AP783" s="44"/>
      <c r="AQ783" s="27">
        <f t="shared" si="127"/>
        <v>7442.599999999999</v>
      </c>
    </row>
    <row r="784" spans="1:43" ht="12.75">
      <c r="A784" s="7" t="s">
        <v>1622</v>
      </c>
      <c r="B784" s="7" t="s">
        <v>1623</v>
      </c>
      <c r="C784" t="s">
        <v>1626</v>
      </c>
      <c r="D784" s="57">
        <v>5</v>
      </c>
      <c r="E784" s="7" t="s">
        <v>1861</v>
      </c>
      <c r="F784" s="19"/>
      <c r="G784" s="4">
        <f>IF(F784&gt;0,F784,IF(PrefetchDBSummary!$C$10="B",AJ784,8))</f>
        <v>8</v>
      </c>
      <c r="H784" s="4">
        <f>PrefetchDBSummary!$C$14</f>
        <v>0</v>
      </c>
      <c r="I784" s="4">
        <f>PrefetchDBSummary!$D$14</f>
        <v>0</v>
      </c>
      <c r="J784" s="5">
        <f t="shared" si="123"/>
        <v>0</v>
      </c>
      <c r="K784" s="4">
        <f t="shared" si="124"/>
        <v>0</v>
      </c>
      <c r="L784" s="4">
        <f t="shared" si="125"/>
        <v>0</v>
      </c>
      <c r="M784" s="5">
        <f t="shared" si="126"/>
        <v>0</v>
      </c>
      <c r="N784" s="17">
        <f t="shared" si="121"/>
        <v>0</v>
      </c>
      <c r="O784" s="32">
        <f t="shared" si="122"/>
        <v>0</v>
      </c>
      <c r="AG784" t="s">
        <v>1635</v>
      </c>
      <c r="AH784" t="s">
        <v>583</v>
      </c>
      <c r="AI784">
        <v>2</v>
      </c>
      <c r="AJ784">
        <v>15</v>
      </c>
      <c r="AK784">
        <v>11</v>
      </c>
      <c r="AL784">
        <v>6</v>
      </c>
      <c r="AM784">
        <v>331</v>
      </c>
      <c r="AN784">
        <v>621</v>
      </c>
      <c r="AO784">
        <v>224</v>
      </c>
      <c r="AP784" s="44"/>
      <c r="AQ784" s="27">
        <f t="shared" si="127"/>
        <v>1557</v>
      </c>
    </row>
    <row r="785" spans="1:43" ht="12.75">
      <c r="A785" s="7" t="s">
        <v>1622</v>
      </c>
      <c r="B785" s="7" t="s">
        <v>1623</v>
      </c>
      <c r="C785" t="s">
        <v>1627</v>
      </c>
      <c r="D785" s="57">
        <v>1</v>
      </c>
      <c r="E785" s="7" t="s">
        <v>928</v>
      </c>
      <c r="F785" s="19"/>
      <c r="G785" s="4">
        <f>IF(F785&gt;0,F785,IF(PrefetchDBSummary!$C$10="B",AJ785,8))</f>
        <v>8</v>
      </c>
      <c r="H785" s="4">
        <f>PrefetchDBSummary!$C$14</f>
        <v>0</v>
      </c>
      <c r="I785" s="4">
        <f>PrefetchDBSummary!$D$14</f>
        <v>0</v>
      </c>
      <c r="J785" s="5">
        <f t="shared" si="123"/>
        <v>0</v>
      </c>
      <c r="K785" s="4">
        <f t="shared" si="124"/>
        <v>0</v>
      </c>
      <c r="L785" s="4">
        <f t="shared" si="125"/>
        <v>0</v>
      </c>
      <c r="M785" s="5">
        <f t="shared" si="126"/>
        <v>0</v>
      </c>
      <c r="N785" s="17">
        <f t="shared" si="121"/>
        <v>0</v>
      </c>
      <c r="O785" s="32">
        <f t="shared" si="122"/>
        <v>0</v>
      </c>
      <c r="AG785" t="s">
        <v>1636</v>
      </c>
      <c r="AH785" t="s">
        <v>583</v>
      </c>
      <c r="AI785">
        <v>2</v>
      </c>
      <c r="AJ785">
        <v>15</v>
      </c>
      <c r="AK785">
        <v>8</v>
      </c>
      <c r="AL785">
        <v>3</v>
      </c>
      <c r="AM785">
        <v>296</v>
      </c>
      <c r="AN785">
        <v>449</v>
      </c>
      <c r="AO785">
        <v>224</v>
      </c>
      <c r="AP785" s="44"/>
      <c r="AQ785" s="27">
        <f t="shared" si="127"/>
        <v>586.6</v>
      </c>
    </row>
    <row r="786" spans="1:43" ht="12.75">
      <c r="A786" s="7" t="s">
        <v>1622</v>
      </c>
      <c r="B786" s="7" t="s">
        <v>1623</v>
      </c>
      <c r="C786" t="s">
        <v>1628</v>
      </c>
      <c r="D786" s="57">
        <v>1</v>
      </c>
      <c r="E786" s="7" t="s">
        <v>928</v>
      </c>
      <c r="F786" s="19"/>
      <c r="G786" s="4">
        <f>IF(F786&gt;0,F786,IF(PrefetchDBSummary!$C$10="B",AJ786,8))</f>
        <v>8</v>
      </c>
      <c r="H786" s="4">
        <f>PrefetchDBSummary!$C$14</f>
        <v>0</v>
      </c>
      <c r="I786" s="4">
        <f>PrefetchDBSummary!$D$14</f>
        <v>0</v>
      </c>
      <c r="J786" s="5">
        <f t="shared" si="123"/>
        <v>0</v>
      </c>
      <c r="K786" s="4">
        <f t="shared" si="124"/>
        <v>0</v>
      </c>
      <c r="L786" s="4">
        <f t="shared" si="125"/>
        <v>0</v>
      </c>
      <c r="M786" s="5">
        <f t="shared" si="126"/>
        <v>0</v>
      </c>
      <c r="N786" s="17">
        <f t="shared" si="121"/>
        <v>0</v>
      </c>
      <c r="O786" s="32">
        <f t="shared" si="122"/>
        <v>0</v>
      </c>
      <c r="AG786" t="s">
        <v>1637</v>
      </c>
      <c r="AH786" t="s">
        <v>583</v>
      </c>
      <c r="AI786">
        <v>1</v>
      </c>
      <c r="AJ786">
        <v>15</v>
      </c>
      <c r="AK786">
        <v>8</v>
      </c>
      <c r="AL786">
        <v>5</v>
      </c>
      <c r="AM786">
        <v>248</v>
      </c>
      <c r="AN786">
        <v>503</v>
      </c>
      <c r="AO786">
        <v>160</v>
      </c>
      <c r="AP786" s="44"/>
      <c r="AQ786" s="27">
        <f t="shared" si="127"/>
        <v>577</v>
      </c>
    </row>
    <row r="787" spans="1:43" ht="12.75">
      <c r="A787" s="7" t="s">
        <v>1622</v>
      </c>
      <c r="B787" s="7" t="s">
        <v>1623</v>
      </c>
      <c r="C787" t="s">
        <v>1629</v>
      </c>
      <c r="D787" s="57">
        <v>1</v>
      </c>
      <c r="E787" s="7" t="s">
        <v>928</v>
      </c>
      <c r="F787" s="19"/>
      <c r="G787" s="4">
        <f>IF(F787&gt;0,F787,IF(PrefetchDBSummary!$C$10="B",AJ787,8))</f>
        <v>8</v>
      </c>
      <c r="H787" s="4">
        <f>PrefetchDBSummary!$C$14</f>
        <v>0</v>
      </c>
      <c r="I787" s="4">
        <f>PrefetchDBSummary!$D$14</f>
        <v>0</v>
      </c>
      <c r="J787" s="5">
        <f t="shared" si="123"/>
        <v>0</v>
      </c>
      <c r="K787" s="4">
        <f t="shared" si="124"/>
        <v>0</v>
      </c>
      <c r="L787" s="4">
        <f t="shared" si="125"/>
        <v>0</v>
      </c>
      <c r="M787" s="5">
        <f t="shared" si="126"/>
        <v>0</v>
      </c>
      <c r="N787" s="17">
        <f t="shared" si="121"/>
        <v>0</v>
      </c>
      <c r="O787" s="32">
        <f t="shared" si="122"/>
        <v>0</v>
      </c>
      <c r="AG787" t="s">
        <v>1638</v>
      </c>
      <c r="AH787" t="s">
        <v>583</v>
      </c>
      <c r="AI787">
        <v>5</v>
      </c>
      <c r="AJ787">
        <v>15</v>
      </c>
      <c r="AK787">
        <v>6</v>
      </c>
      <c r="AL787">
        <v>3</v>
      </c>
      <c r="AM787">
        <v>198</v>
      </c>
      <c r="AN787">
        <v>335</v>
      </c>
      <c r="AO787">
        <v>160</v>
      </c>
      <c r="AP787" s="44"/>
      <c r="AQ787" s="27">
        <f t="shared" si="127"/>
        <v>489</v>
      </c>
    </row>
    <row r="788" spans="1:43" ht="12.75">
      <c r="A788" s="7" t="s">
        <v>1622</v>
      </c>
      <c r="B788" s="7" t="s">
        <v>1623</v>
      </c>
      <c r="C788" t="s">
        <v>1630</v>
      </c>
      <c r="D788" s="57">
        <v>1</v>
      </c>
      <c r="E788" s="7" t="s">
        <v>928</v>
      </c>
      <c r="F788" s="19"/>
      <c r="G788" s="4">
        <f>IF(F788&gt;0,F788,IF(PrefetchDBSummary!$C$10="B",AJ788,8))</f>
        <v>8</v>
      </c>
      <c r="H788" s="4">
        <f>PrefetchDBSummary!$C$14</f>
        <v>0</v>
      </c>
      <c r="I788" s="4">
        <f>PrefetchDBSummary!$D$14</f>
        <v>0</v>
      </c>
      <c r="J788" s="5">
        <f t="shared" si="123"/>
        <v>0</v>
      </c>
      <c r="K788" s="4">
        <f t="shared" si="124"/>
        <v>0</v>
      </c>
      <c r="L788" s="4">
        <f t="shared" si="125"/>
        <v>0</v>
      </c>
      <c r="M788" s="5">
        <f t="shared" si="126"/>
        <v>0</v>
      </c>
      <c r="N788" s="17">
        <f t="shared" si="121"/>
        <v>0</v>
      </c>
      <c r="O788" s="32">
        <f t="shared" si="122"/>
        <v>0</v>
      </c>
      <c r="AG788" t="s">
        <v>1639</v>
      </c>
      <c r="AH788" t="s">
        <v>583</v>
      </c>
      <c r="AI788">
        <v>5</v>
      </c>
      <c r="AJ788">
        <v>15</v>
      </c>
      <c r="AK788">
        <v>6</v>
      </c>
      <c r="AL788">
        <v>2</v>
      </c>
      <c r="AM788">
        <v>198</v>
      </c>
      <c r="AN788">
        <v>284</v>
      </c>
      <c r="AO788">
        <v>160</v>
      </c>
      <c r="AP788" s="44"/>
      <c r="AQ788" s="27">
        <f t="shared" si="127"/>
        <v>489</v>
      </c>
    </row>
    <row r="789" spans="1:43" ht="12.75">
      <c r="A789" s="7" t="s">
        <v>1622</v>
      </c>
      <c r="B789" s="7" t="s">
        <v>1623</v>
      </c>
      <c r="C789" t="s">
        <v>1631</v>
      </c>
      <c r="D789" s="57">
        <v>1</v>
      </c>
      <c r="E789" s="7" t="s">
        <v>928</v>
      </c>
      <c r="F789" s="19"/>
      <c r="G789" s="4">
        <f>IF(F789&gt;0,F789,IF(PrefetchDBSummary!$C$10="B",AJ789,8))</f>
        <v>8</v>
      </c>
      <c r="H789" s="4">
        <f>PrefetchDBSummary!$C$14</f>
        <v>0</v>
      </c>
      <c r="I789" s="4">
        <f>PrefetchDBSummary!$D$14</f>
        <v>0</v>
      </c>
      <c r="J789" s="5">
        <f t="shared" si="123"/>
        <v>0</v>
      </c>
      <c r="K789" s="4">
        <f t="shared" si="124"/>
        <v>0</v>
      </c>
      <c r="L789" s="4">
        <f t="shared" si="125"/>
        <v>0</v>
      </c>
      <c r="M789" s="5">
        <f t="shared" si="126"/>
        <v>0</v>
      </c>
      <c r="N789" s="17">
        <f t="shared" si="121"/>
        <v>0</v>
      </c>
      <c r="O789" s="32">
        <f t="shared" si="122"/>
        <v>0</v>
      </c>
      <c r="AG789" t="s">
        <v>1640</v>
      </c>
      <c r="AH789" t="s">
        <v>583</v>
      </c>
      <c r="AI789">
        <v>1</v>
      </c>
      <c r="AJ789">
        <v>15</v>
      </c>
      <c r="AK789">
        <v>5</v>
      </c>
      <c r="AL789">
        <v>0</v>
      </c>
      <c r="AM789">
        <v>293</v>
      </c>
      <c r="AN789">
        <v>293</v>
      </c>
      <c r="AO789">
        <v>288</v>
      </c>
      <c r="AP789" s="44"/>
      <c r="AQ789" s="27">
        <f t="shared" si="127"/>
        <v>488.2</v>
      </c>
    </row>
    <row r="790" spans="1:43" ht="12.75">
      <c r="A790" s="7" t="s">
        <v>1622</v>
      </c>
      <c r="B790" s="7" t="s">
        <v>1623</v>
      </c>
      <c r="C790" t="s">
        <v>1632</v>
      </c>
      <c r="D790" s="57">
        <v>2</v>
      </c>
      <c r="E790" s="7" t="s">
        <v>1296</v>
      </c>
      <c r="F790" s="19"/>
      <c r="G790" s="4">
        <f>IF(F790&gt;0,F790,IF(PrefetchDBSummary!$C$10="B",AJ790,8))</f>
        <v>8</v>
      </c>
      <c r="H790" s="4">
        <f>PrefetchDBSummary!$C$14</f>
        <v>0</v>
      </c>
      <c r="I790" s="4">
        <f>PrefetchDBSummary!$D$14</f>
        <v>0</v>
      </c>
      <c r="J790" s="5">
        <f t="shared" si="123"/>
        <v>0</v>
      </c>
      <c r="K790" s="4">
        <f t="shared" si="124"/>
        <v>0</v>
      </c>
      <c r="L790" s="4">
        <f t="shared" si="125"/>
        <v>0</v>
      </c>
      <c r="M790" s="5">
        <f t="shared" si="126"/>
        <v>0</v>
      </c>
      <c r="N790" s="17">
        <f t="shared" si="121"/>
        <v>0</v>
      </c>
      <c r="O790" s="32">
        <f t="shared" si="122"/>
        <v>0</v>
      </c>
      <c r="AG790" t="s">
        <v>1641</v>
      </c>
      <c r="AH790" t="s">
        <v>583</v>
      </c>
      <c r="AI790">
        <v>1</v>
      </c>
      <c r="AJ790">
        <v>15</v>
      </c>
      <c r="AK790">
        <v>11</v>
      </c>
      <c r="AL790">
        <v>6</v>
      </c>
      <c r="AM790">
        <v>347</v>
      </c>
      <c r="AN790">
        <v>605</v>
      </c>
      <c r="AO790">
        <v>288</v>
      </c>
      <c r="AP790" s="44"/>
      <c r="AQ790" s="27">
        <f t="shared" si="127"/>
        <v>853.4</v>
      </c>
    </row>
    <row r="791" spans="1:43" ht="12.75">
      <c r="A791" s="7" t="s">
        <v>1643</v>
      </c>
      <c r="B791" s="7" t="s">
        <v>1642</v>
      </c>
      <c r="C791" s="7" t="s">
        <v>1644</v>
      </c>
      <c r="D791" s="57">
        <v>1</v>
      </c>
      <c r="E791" s="13" t="s">
        <v>1858</v>
      </c>
      <c r="F791" s="19"/>
      <c r="G791" s="4">
        <f>IF(F791&gt;0,F791,IF(PrefetchDBSummary!$C$10="B",AJ791,8))</f>
        <v>8</v>
      </c>
      <c r="H791" s="4">
        <f>PrefetchDBSummary!$C$53</f>
        <v>0</v>
      </c>
      <c r="I791" s="4">
        <f>PrefetchDBSummary!$D$53</f>
        <v>0</v>
      </c>
      <c r="J791" s="5">
        <f t="shared" si="123"/>
        <v>0</v>
      </c>
      <c r="K791" s="4">
        <f t="shared" si="124"/>
        <v>0</v>
      </c>
      <c r="L791" s="4">
        <f t="shared" si="125"/>
        <v>0</v>
      </c>
      <c r="M791" s="5">
        <f t="shared" si="126"/>
        <v>0</v>
      </c>
      <c r="N791" s="17">
        <f t="shared" si="121"/>
        <v>0</v>
      </c>
      <c r="O791" s="32">
        <f t="shared" si="122"/>
        <v>0</v>
      </c>
      <c r="AG791" t="s">
        <v>1649</v>
      </c>
      <c r="AH791" t="s">
        <v>583</v>
      </c>
      <c r="AI791">
        <v>1</v>
      </c>
      <c r="AJ791">
        <v>8</v>
      </c>
      <c r="AK791">
        <v>13</v>
      </c>
      <c r="AL791">
        <v>0</v>
      </c>
      <c r="AM791">
        <v>465</v>
      </c>
      <c r="AN791">
        <v>465</v>
      </c>
      <c r="AO791">
        <v>416</v>
      </c>
      <c r="AP791" s="44"/>
      <c r="AQ791" s="27">
        <f t="shared" si="127"/>
        <v>735.4</v>
      </c>
    </row>
    <row r="792" spans="1:43" ht="12.75">
      <c r="A792" s="7" t="s">
        <v>1643</v>
      </c>
      <c r="B792" s="7" t="s">
        <v>1642</v>
      </c>
      <c r="C792" t="s">
        <v>1645</v>
      </c>
      <c r="D792" s="57">
        <v>1</v>
      </c>
      <c r="E792" s="7" t="s">
        <v>721</v>
      </c>
      <c r="F792" s="19"/>
      <c r="G792" s="4">
        <f>IF(F792&gt;0,F792,IF(PrefetchDBSummary!$C$10="B",AJ792,8))</f>
        <v>8</v>
      </c>
      <c r="H792" s="4">
        <f>PrefetchDBSummary!$C$53</f>
        <v>0</v>
      </c>
      <c r="I792" s="4">
        <f>PrefetchDBSummary!$D$53</f>
        <v>0</v>
      </c>
      <c r="J792" s="5">
        <f t="shared" si="123"/>
        <v>0</v>
      </c>
      <c r="K792" s="4">
        <f t="shared" si="124"/>
        <v>0</v>
      </c>
      <c r="L792" s="4">
        <f t="shared" si="125"/>
        <v>0</v>
      </c>
      <c r="M792" s="5">
        <f t="shared" si="126"/>
        <v>0</v>
      </c>
      <c r="N792" s="17">
        <f t="shared" si="121"/>
        <v>0</v>
      </c>
      <c r="O792" s="32">
        <f t="shared" si="122"/>
        <v>0</v>
      </c>
      <c r="AG792" t="s">
        <v>1650</v>
      </c>
      <c r="AH792" t="s">
        <v>582</v>
      </c>
      <c r="AI792">
        <v>8</v>
      </c>
      <c r="AJ792">
        <v>8</v>
      </c>
      <c r="AK792">
        <v>2</v>
      </c>
      <c r="AL792">
        <v>0</v>
      </c>
      <c r="AM792">
        <v>98</v>
      </c>
      <c r="AN792">
        <v>98</v>
      </c>
      <c r="AO792">
        <v>96</v>
      </c>
      <c r="AP792" s="44"/>
      <c r="AQ792" s="27">
        <f t="shared" si="127"/>
        <v>351.4</v>
      </c>
    </row>
    <row r="793" spans="1:43" ht="12.75">
      <c r="A793" s="7" t="s">
        <v>1643</v>
      </c>
      <c r="B793" s="7" t="s">
        <v>1642</v>
      </c>
      <c r="C793" t="s">
        <v>1646</v>
      </c>
      <c r="D793" s="57">
        <v>1</v>
      </c>
      <c r="E793" s="7" t="s">
        <v>1859</v>
      </c>
      <c r="F793" s="19"/>
      <c r="G793" s="4">
        <f>IF(F793&gt;0,F793,IF(PrefetchDBSummary!$C$10="B",AJ793,8))</f>
        <v>8</v>
      </c>
      <c r="H793" s="4">
        <f>PrefetchDBSummary!$C$53</f>
        <v>0</v>
      </c>
      <c r="I793" s="4">
        <f>PrefetchDBSummary!$D$53</f>
        <v>0</v>
      </c>
      <c r="J793" s="5">
        <f t="shared" si="123"/>
        <v>0</v>
      </c>
      <c r="K793" s="4">
        <f t="shared" si="124"/>
        <v>0</v>
      </c>
      <c r="L793" s="4">
        <f t="shared" si="125"/>
        <v>0</v>
      </c>
      <c r="M793" s="5">
        <f t="shared" si="126"/>
        <v>0</v>
      </c>
      <c r="N793" s="17">
        <f t="shared" si="121"/>
        <v>0</v>
      </c>
      <c r="O793" s="32">
        <f t="shared" si="122"/>
        <v>0</v>
      </c>
      <c r="AG793" t="s">
        <v>1651</v>
      </c>
      <c r="AH793" t="s">
        <v>583</v>
      </c>
      <c r="AI793">
        <v>1</v>
      </c>
      <c r="AJ793">
        <v>15</v>
      </c>
      <c r="AK793">
        <v>19</v>
      </c>
      <c r="AL793">
        <v>0</v>
      </c>
      <c r="AM793">
        <v>567</v>
      </c>
      <c r="AN793">
        <v>567</v>
      </c>
      <c r="AO793">
        <v>352</v>
      </c>
      <c r="AP793" s="44"/>
      <c r="AQ793" s="27">
        <f t="shared" si="127"/>
        <v>989.8</v>
      </c>
    </row>
    <row r="794" spans="1:43" ht="12.75">
      <c r="A794" s="7" t="s">
        <v>1643</v>
      </c>
      <c r="B794" s="7" t="s">
        <v>1642</v>
      </c>
      <c r="C794" t="s">
        <v>1647</v>
      </c>
      <c r="D794" s="4">
        <f>PrefetchDBSummary!E53</f>
        <v>200</v>
      </c>
      <c r="E794" s="7" t="s">
        <v>1317</v>
      </c>
      <c r="F794" s="19"/>
      <c r="G794" s="4">
        <f>IF(F794&gt;0,F794,IF(PrefetchDBSummary!$C$10="B",AJ794,8))</f>
        <v>8</v>
      </c>
      <c r="H794" s="4">
        <f>PrefetchDBSummary!$C$53</f>
        <v>0</v>
      </c>
      <c r="I794" s="4">
        <f>PrefetchDBSummary!$D$53</f>
        <v>0</v>
      </c>
      <c r="J794" s="5">
        <f t="shared" si="123"/>
        <v>0</v>
      </c>
      <c r="K794" s="4">
        <f t="shared" si="124"/>
        <v>0</v>
      </c>
      <c r="L794" s="4">
        <f t="shared" si="125"/>
        <v>0</v>
      </c>
      <c r="M794" s="5">
        <f t="shared" si="126"/>
        <v>0</v>
      </c>
      <c r="N794" s="17">
        <f t="shared" si="121"/>
        <v>0</v>
      </c>
      <c r="O794" s="32">
        <f t="shared" si="122"/>
        <v>0</v>
      </c>
      <c r="AG794" t="s">
        <v>1652</v>
      </c>
      <c r="AH794" t="s">
        <v>583</v>
      </c>
      <c r="AI794">
        <v>1</v>
      </c>
      <c r="AJ794">
        <v>8</v>
      </c>
      <c r="AK794">
        <v>12</v>
      </c>
      <c r="AL794">
        <v>2</v>
      </c>
      <c r="AM794">
        <v>408</v>
      </c>
      <c r="AN794">
        <v>494</v>
      </c>
      <c r="AO794">
        <v>352</v>
      </c>
      <c r="AP794" s="44"/>
      <c r="AQ794" s="27">
        <f t="shared" si="127"/>
        <v>44438</v>
      </c>
    </row>
    <row r="795" spans="1:43" ht="12.75">
      <c r="A795" s="7" t="s">
        <v>1643</v>
      </c>
      <c r="B795" s="7" t="s">
        <v>1642</v>
      </c>
      <c r="C795" t="s">
        <v>1648</v>
      </c>
      <c r="D795" s="57">
        <v>1</v>
      </c>
      <c r="E795" s="7" t="s">
        <v>721</v>
      </c>
      <c r="F795" s="19"/>
      <c r="G795" s="4">
        <f>IF(F795&gt;0,F795,IF(PrefetchDBSummary!$C$10="B",AJ795,8))</f>
        <v>8</v>
      </c>
      <c r="H795" s="4">
        <f>PrefetchDBSummary!$C$53</f>
        <v>0</v>
      </c>
      <c r="I795" s="4">
        <f>PrefetchDBSummary!$D$53</f>
        <v>0</v>
      </c>
      <c r="J795" s="5">
        <f t="shared" si="123"/>
        <v>0</v>
      </c>
      <c r="K795" s="4">
        <f t="shared" si="124"/>
        <v>0</v>
      </c>
      <c r="L795" s="4">
        <f t="shared" si="125"/>
        <v>0</v>
      </c>
      <c r="M795" s="5">
        <f t="shared" si="126"/>
        <v>0</v>
      </c>
      <c r="N795" s="17">
        <f t="shared" si="121"/>
        <v>0</v>
      </c>
      <c r="O795" s="32">
        <f t="shared" si="122"/>
        <v>0</v>
      </c>
      <c r="AG795" t="s">
        <v>1653</v>
      </c>
      <c r="AH795" t="s">
        <v>582</v>
      </c>
      <c r="AI795">
        <v>1</v>
      </c>
      <c r="AJ795">
        <v>15</v>
      </c>
      <c r="AK795">
        <v>6</v>
      </c>
      <c r="AL795">
        <v>0</v>
      </c>
      <c r="AM795">
        <v>58</v>
      </c>
      <c r="AN795">
        <v>58</v>
      </c>
      <c r="AO795">
        <v>32</v>
      </c>
      <c r="AP795" s="44"/>
      <c r="AQ795" s="27">
        <f t="shared" si="127"/>
        <v>425.8</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2016-04-27T18:50:30Z</dcterms:created>
  <dcterms:modified xsi:type="dcterms:W3CDTF">2018-09-24T16:40:46Z</dcterms:modified>
  <cp:category/>
  <cp:version/>
  <cp:contentType/>
  <cp:contentStatus/>
</cp:coreProperties>
</file>